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L:\OKO-faelles$\Analyser\Udbud\Endelig\"/>
    </mc:Choice>
  </mc:AlternateContent>
  <xr:revisionPtr revIDLastSave="0" documentId="13_ncr:1_{D5A1083F-60EA-47ED-8163-C48F300D63BB}" xr6:coauthVersionLast="47" xr6:coauthVersionMax="47" xr10:uidLastSave="{00000000-0000-0000-0000-000000000000}"/>
  <bookViews>
    <workbookView xWindow="-120" yWindow="-120" windowWidth="29040" windowHeight="15225" tabRatio="773" xr2:uid="{00000000-000D-0000-FFFF-FFFF00000000}"/>
  </bookViews>
  <sheets>
    <sheet name="Pakke 1 overblik" sheetId="14" r:id="rId1"/>
    <sheet name="Tilbudsskema - Assens lokal" sheetId="34" r:id="rId2"/>
    <sheet name="Tilbudsskema - Kerteminde lokal" sheetId="32" r:id="rId3"/>
    <sheet name="Tilbudsskema - Nordfyns lokal" sheetId="33" r:id="rId4"/>
    <sheet name="Tilbudsskema - Middelfart bybus" sheetId="29" r:id="rId5"/>
    <sheet name="Tilbudsskema - Middelfart lokal" sheetId="30" r:id="rId6"/>
    <sheet name="Tilbudsskema - Regional" sheetId="5" r:id="rId7"/>
    <sheet name="Ark2" sheetId="8" r:id="rId8"/>
  </sheets>
  <definedNames>
    <definedName name="_xlnm.Print_Area" localSheetId="0">'Pakke 1 overblik'!$A$1:$N$33</definedName>
    <definedName name="_xlnm.Print_Area" localSheetId="1">'Tilbudsskema - Assens lokal'!$A$1:$P$59</definedName>
    <definedName name="_xlnm.Print_Area" localSheetId="2">'Tilbudsskema - Kerteminde lokal'!$A$1:$P$59</definedName>
    <definedName name="_xlnm.Print_Area" localSheetId="4">'Tilbudsskema - Middelfart bybus'!$A$1:$O$60</definedName>
    <definedName name="_xlnm.Print_Area" localSheetId="5">'Tilbudsskema - Middelfart lokal'!$A$1:$P$59</definedName>
    <definedName name="_xlnm.Print_Area" localSheetId="3">'Tilbudsskema - Nordfyns lokal'!$A$1:$P$59</definedName>
    <definedName name="_xlnm.Print_Area" localSheetId="6">'Tilbudsskema - Regional'!$A$1:$O$60</definedName>
    <definedName name="_xlnm.Print_Titles" localSheetId="0">'Pakke 1 overblik'!$1:$1</definedName>
    <definedName name="_xlnm.Print_Titles" localSheetId="1">'Tilbudsskema - Assens lokal'!$1:$1</definedName>
    <definedName name="_xlnm.Print_Titles" localSheetId="2">'Tilbudsskema - Kerteminde lokal'!$1:$1</definedName>
    <definedName name="_xlnm.Print_Titles" localSheetId="4">'Tilbudsskema - Middelfart bybus'!$1:$1</definedName>
    <definedName name="_xlnm.Print_Titles" localSheetId="5">'Tilbudsskema - Middelfart lokal'!$1:$1</definedName>
    <definedName name="_xlnm.Print_Titles" localSheetId="3">'Tilbudsskema - Nordfyns lokal'!$1:$1</definedName>
    <definedName name="_xlnm.Print_Titles" localSheetId="6">'Tilbudsskema - Regional'!$1:$1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2" i="5" l="1"/>
  <c r="A42" i="29"/>
  <c r="A42" i="30"/>
  <c r="A42" i="33"/>
  <c r="A42" i="32"/>
  <c r="A42" i="34"/>
  <c r="K54" i="32"/>
  <c r="K54" i="33"/>
  <c r="K54" i="29"/>
  <c r="K54" i="30"/>
  <c r="K54" i="5"/>
  <c r="K54" i="34"/>
  <c r="F51" i="32"/>
  <c r="F51" i="33"/>
  <c r="F51" i="29"/>
  <c r="F51" i="30"/>
  <c r="F51" i="5"/>
  <c r="F51" i="34"/>
  <c r="K47" i="32"/>
  <c r="K47" i="33"/>
  <c r="K47" i="29"/>
  <c r="K47" i="30"/>
  <c r="K47" i="5"/>
  <c r="K47" i="34"/>
  <c r="K46" i="32"/>
  <c r="K46" i="33"/>
  <c r="K46" i="29"/>
  <c r="K46" i="30"/>
  <c r="K46" i="5"/>
  <c r="K46" i="34"/>
  <c r="K45" i="32"/>
  <c r="K45" i="33"/>
  <c r="K45" i="29"/>
  <c r="K45" i="30"/>
  <c r="K45" i="5"/>
  <c r="K45" i="34"/>
  <c r="F46" i="32"/>
  <c r="F47" i="32"/>
  <c r="F46" i="33"/>
  <c r="F47" i="33"/>
  <c r="F46" i="29"/>
  <c r="F47" i="29"/>
  <c r="F46" i="30"/>
  <c r="F47" i="30"/>
  <c r="F46" i="5"/>
  <c r="F47" i="5"/>
  <c r="F46" i="34"/>
  <c r="F47" i="34"/>
  <c r="F45" i="32"/>
  <c r="F45" i="33"/>
  <c r="F45" i="29"/>
  <c r="F45" i="30"/>
  <c r="F45" i="5"/>
  <c r="F45" i="34"/>
  <c r="N30" i="29"/>
  <c r="N30" i="5"/>
  <c r="N30" i="34"/>
  <c r="M30" i="32"/>
  <c r="M30" i="33"/>
  <c r="M30" i="30"/>
  <c r="K39" i="32"/>
  <c r="K39" i="33"/>
  <c r="K39" i="29"/>
  <c r="K39" i="30"/>
  <c r="K39" i="5"/>
  <c r="K39" i="34"/>
  <c r="K32" i="32"/>
  <c r="K32" i="33"/>
  <c r="K32" i="29"/>
  <c r="K32" i="30"/>
  <c r="K32" i="5"/>
  <c r="K32" i="34"/>
  <c r="K31" i="32"/>
  <c r="K31" i="33"/>
  <c r="K31" i="29"/>
  <c r="K31" i="30"/>
  <c r="K31" i="5"/>
  <c r="K31" i="34"/>
  <c r="K30" i="32"/>
  <c r="K30" i="33"/>
  <c r="K30" i="29"/>
  <c r="M30" i="29" s="1"/>
  <c r="K30" i="30"/>
  <c r="K30" i="5"/>
  <c r="K30" i="34"/>
  <c r="F36" i="32"/>
  <c r="F36" i="33"/>
  <c r="F36" i="29"/>
  <c r="F36" i="30"/>
  <c r="F36" i="5"/>
  <c r="F36" i="34"/>
  <c r="F32" i="32"/>
  <c r="F32" i="33"/>
  <c r="F32" i="29"/>
  <c r="F32" i="30"/>
  <c r="F32" i="5"/>
  <c r="F32" i="34"/>
  <c r="F31" i="32"/>
  <c r="F31" i="33"/>
  <c r="F31" i="29"/>
  <c r="F31" i="30"/>
  <c r="F31" i="5"/>
  <c r="F31" i="34"/>
  <c r="F30" i="32"/>
  <c r="F30" i="33"/>
  <c r="F30" i="29"/>
  <c r="F30" i="30"/>
  <c r="F30" i="5"/>
  <c r="F30" i="34"/>
  <c r="N30" i="32" l="1"/>
  <c r="M30" i="5"/>
  <c r="N30" i="30"/>
  <c r="N30" i="33"/>
  <c r="K25" i="30"/>
  <c r="K24" i="30"/>
  <c r="N14" i="34"/>
  <c r="N29" i="34" s="1"/>
  <c r="N44" i="34" s="1"/>
  <c r="N36" i="34"/>
  <c r="A27" i="30"/>
  <c r="A11" i="30"/>
  <c r="A27" i="33"/>
  <c r="A11" i="33"/>
  <c r="A11" i="32"/>
  <c r="A27" i="32"/>
  <c r="A11" i="34"/>
  <c r="A27" i="34"/>
  <c r="F58" i="34"/>
  <c r="H48" i="5"/>
  <c r="H33" i="5"/>
  <c r="H33" i="29"/>
  <c r="A1" i="30"/>
  <c r="A1" i="33"/>
  <c r="A1" i="34"/>
  <c r="A1" i="5"/>
  <c r="F58" i="5"/>
  <c r="N54" i="5"/>
  <c r="H54" i="5"/>
  <c r="B54" i="5"/>
  <c r="N51" i="5"/>
  <c r="B51" i="5"/>
  <c r="D48" i="5"/>
  <c r="N47" i="5"/>
  <c r="B47" i="5"/>
  <c r="N46" i="5"/>
  <c r="B46" i="5"/>
  <c r="N45" i="5"/>
  <c r="B45" i="5"/>
  <c r="N39" i="5"/>
  <c r="H39" i="5"/>
  <c r="B39" i="5"/>
  <c r="N36" i="5"/>
  <c r="B36" i="5"/>
  <c r="D33" i="5"/>
  <c r="N32" i="5"/>
  <c r="B32" i="5"/>
  <c r="N31" i="5"/>
  <c r="B31" i="5"/>
  <c r="B30" i="5"/>
  <c r="A29" i="5"/>
  <c r="A44" i="5" s="1"/>
  <c r="N24" i="5"/>
  <c r="H24" i="5"/>
  <c r="K24" i="5" s="1"/>
  <c r="B24" i="5"/>
  <c r="N21" i="5"/>
  <c r="F21" i="5"/>
  <c r="B21" i="5"/>
  <c r="M21" i="5" s="1"/>
  <c r="H18" i="5"/>
  <c r="D18" i="5"/>
  <c r="N17" i="5"/>
  <c r="K17" i="5"/>
  <c r="F17" i="5"/>
  <c r="M17" i="5" s="1"/>
  <c r="B17" i="5"/>
  <c r="N16" i="5"/>
  <c r="K16" i="5"/>
  <c r="F16" i="5"/>
  <c r="B16" i="5"/>
  <c r="N15" i="5"/>
  <c r="K15" i="5"/>
  <c r="F15" i="5"/>
  <c r="B15" i="5"/>
  <c r="N14" i="5"/>
  <c r="N29" i="5" s="1"/>
  <c r="N44" i="5" s="1"/>
  <c r="M14" i="5"/>
  <c r="M29" i="5" s="1"/>
  <c r="M44" i="5" s="1"/>
  <c r="F58" i="30"/>
  <c r="F58" i="32"/>
  <c r="F58" i="33"/>
  <c r="F58" i="29"/>
  <c r="N29" i="29"/>
  <c r="N39" i="29"/>
  <c r="N36" i="29"/>
  <c r="N54" i="29"/>
  <c r="N51" i="29"/>
  <c r="N47" i="29"/>
  <c r="N46" i="29"/>
  <c r="N45" i="29"/>
  <c r="N44" i="29"/>
  <c r="N24" i="29"/>
  <c r="N21" i="29"/>
  <c r="M14" i="29"/>
  <c r="N14" i="29"/>
  <c r="N17" i="29"/>
  <c r="M17" i="29"/>
  <c r="N16" i="29"/>
  <c r="N15" i="29"/>
  <c r="B47" i="29"/>
  <c r="B46" i="29"/>
  <c r="B45" i="29"/>
  <c r="B39" i="29"/>
  <c r="B36" i="29"/>
  <c r="B32" i="29"/>
  <c r="B31" i="29"/>
  <c r="B30" i="29"/>
  <c r="B24" i="29"/>
  <c r="B21" i="29"/>
  <c r="B17" i="29"/>
  <c r="B16" i="29"/>
  <c r="B15" i="29"/>
  <c r="H54" i="30"/>
  <c r="B54" i="30"/>
  <c r="N54" i="30" s="1"/>
  <c r="B51" i="30"/>
  <c r="N51" i="30" s="1"/>
  <c r="H48" i="30"/>
  <c r="D48" i="30"/>
  <c r="B47" i="30"/>
  <c r="B46" i="30"/>
  <c r="N46" i="30" s="1"/>
  <c r="B45" i="30"/>
  <c r="H39" i="30"/>
  <c r="B39" i="30"/>
  <c r="M39" i="30" s="1"/>
  <c r="B36" i="30"/>
  <c r="M36" i="30" s="1"/>
  <c r="H33" i="30"/>
  <c r="D33" i="30"/>
  <c r="B32" i="30"/>
  <c r="B31" i="30"/>
  <c r="B30" i="30"/>
  <c r="A29" i="30"/>
  <c r="A44" i="30" s="1"/>
  <c r="H24" i="30"/>
  <c r="B24" i="30"/>
  <c r="M24" i="30" s="1"/>
  <c r="F21" i="30"/>
  <c r="B21" i="30"/>
  <c r="N21" i="30" s="1"/>
  <c r="H18" i="30"/>
  <c r="D18" i="30"/>
  <c r="K17" i="30"/>
  <c r="F17" i="30"/>
  <c r="B17" i="30"/>
  <c r="M17" i="30" s="1"/>
  <c r="K16" i="30"/>
  <c r="F16" i="30"/>
  <c r="B16" i="30"/>
  <c r="M16" i="30" s="1"/>
  <c r="K15" i="30"/>
  <c r="F15" i="30"/>
  <c r="B15" i="30"/>
  <c r="M15" i="30" s="1"/>
  <c r="N14" i="30"/>
  <c r="N29" i="30" s="1"/>
  <c r="N44" i="30" s="1"/>
  <c r="M14" i="30"/>
  <c r="M29" i="30" s="1"/>
  <c r="M44" i="30" s="1"/>
  <c r="H54" i="33"/>
  <c r="B54" i="33"/>
  <c r="B51" i="33"/>
  <c r="N51" i="33" s="1"/>
  <c r="H48" i="33"/>
  <c r="D48" i="33"/>
  <c r="B47" i="33"/>
  <c r="B46" i="33"/>
  <c r="N46" i="33" s="1"/>
  <c r="B45" i="33"/>
  <c r="H39" i="33"/>
  <c r="B39" i="33"/>
  <c r="B36" i="33"/>
  <c r="M36" i="33" s="1"/>
  <c r="H33" i="33"/>
  <c r="D33" i="33"/>
  <c r="B32" i="33"/>
  <c r="B31" i="33"/>
  <c r="B30" i="33"/>
  <c r="A29" i="33"/>
  <c r="A44" i="33" s="1"/>
  <c r="H24" i="33"/>
  <c r="K24" i="33" s="1"/>
  <c r="B24" i="33"/>
  <c r="F21" i="33"/>
  <c r="B21" i="33"/>
  <c r="N21" i="33" s="1"/>
  <c r="H18" i="33"/>
  <c r="D18" i="33"/>
  <c r="K17" i="33"/>
  <c r="F17" i="33"/>
  <c r="B17" i="33"/>
  <c r="N17" i="33" s="1"/>
  <c r="K16" i="33"/>
  <c r="F16" i="33"/>
  <c r="B16" i="33"/>
  <c r="K15" i="33"/>
  <c r="F15" i="33"/>
  <c r="B15" i="33"/>
  <c r="N14" i="33"/>
  <c r="N29" i="33" s="1"/>
  <c r="N44" i="33" s="1"/>
  <c r="M14" i="33"/>
  <c r="M29" i="33" s="1"/>
  <c r="M44" i="33" s="1"/>
  <c r="H54" i="32"/>
  <c r="B54" i="32"/>
  <c r="N54" i="32" s="1"/>
  <c r="B51" i="32"/>
  <c r="N51" i="32" s="1"/>
  <c r="H48" i="32"/>
  <c r="D48" i="32"/>
  <c r="B47" i="32"/>
  <c r="B46" i="32"/>
  <c r="B45" i="32"/>
  <c r="H39" i="32"/>
  <c r="B39" i="32"/>
  <c r="B36" i="32"/>
  <c r="M36" i="32" s="1"/>
  <c r="H33" i="32"/>
  <c r="D33" i="32"/>
  <c r="B32" i="32"/>
  <c r="B31" i="32"/>
  <c r="B30" i="32"/>
  <c r="A29" i="32"/>
  <c r="A44" i="32" s="1"/>
  <c r="H24" i="32"/>
  <c r="K24" i="32" s="1"/>
  <c r="B24" i="32"/>
  <c r="N24" i="32" s="1"/>
  <c r="F21" i="32"/>
  <c r="B21" i="32"/>
  <c r="M21" i="32" s="1"/>
  <c r="H18" i="32"/>
  <c r="D18" i="32"/>
  <c r="K17" i="32"/>
  <c r="F17" i="32"/>
  <c r="B17" i="32"/>
  <c r="N17" i="32" s="1"/>
  <c r="K16" i="32"/>
  <c r="F16" i="32"/>
  <c r="B16" i="32"/>
  <c r="K15" i="32"/>
  <c r="F15" i="32"/>
  <c r="B15" i="32"/>
  <c r="N15" i="32" s="1"/>
  <c r="N14" i="32"/>
  <c r="N29" i="32" s="1"/>
  <c r="N44" i="32" s="1"/>
  <c r="M14" i="32"/>
  <c r="M29" i="32" s="1"/>
  <c r="M44" i="32" s="1"/>
  <c r="A1" i="32"/>
  <c r="D9" i="14"/>
  <c r="C9" i="14"/>
  <c r="C10" i="14"/>
  <c r="M14" i="34"/>
  <c r="M29" i="34" s="1"/>
  <c r="M44" i="34" s="1"/>
  <c r="B15" i="34"/>
  <c r="B54" i="34"/>
  <c r="B51" i="34"/>
  <c r="B47" i="34"/>
  <c r="B46" i="34"/>
  <c r="N46" i="34" s="1"/>
  <c r="B45" i="34"/>
  <c r="B39" i="34"/>
  <c r="B36" i="34"/>
  <c r="M36" i="34" s="1"/>
  <c r="B32" i="34"/>
  <c r="B31" i="34"/>
  <c r="B30" i="34"/>
  <c r="M30" i="34" s="1"/>
  <c r="B24" i="34"/>
  <c r="B21" i="34"/>
  <c r="M21" i="34" s="1"/>
  <c r="B17" i="34"/>
  <c r="B16" i="34"/>
  <c r="N16" i="34" s="1"/>
  <c r="H54" i="34"/>
  <c r="H48" i="34"/>
  <c r="D48" i="34"/>
  <c r="H39" i="34"/>
  <c r="H33" i="34"/>
  <c r="D33" i="34"/>
  <c r="A29" i="34"/>
  <c r="A44" i="34" s="1"/>
  <c r="H24" i="34"/>
  <c r="K24" i="34" s="1"/>
  <c r="N39" i="34" s="1"/>
  <c r="F21" i="34"/>
  <c r="H18" i="34"/>
  <c r="D18" i="34"/>
  <c r="K17" i="34"/>
  <c r="F17" i="34"/>
  <c r="K16" i="34"/>
  <c r="F16" i="34"/>
  <c r="K15" i="34"/>
  <c r="F15" i="34"/>
  <c r="D11" i="14"/>
  <c r="D10" i="14"/>
  <c r="D48" i="29"/>
  <c r="D13" i="14"/>
  <c r="D12" i="14"/>
  <c r="D14" i="14"/>
  <c r="C13" i="14"/>
  <c r="C12" i="14"/>
  <c r="C11" i="14"/>
  <c r="C14" i="14"/>
  <c r="A1" i="29"/>
  <c r="H18" i="29"/>
  <c r="O21" i="5" l="1"/>
  <c r="N15" i="34"/>
  <c r="O17" i="5"/>
  <c r="M31" i="5"/>
  <c r="O31" i="5" s="1"/>
  <c r="M15" i="33"/>
  <c r="M16" i="33"/>
  <c r="N39" i="32"/>
  <c r="M16" i="34"/>
  <c r="N32" i="34"/>
  <c r="M17" i="34"/>
  <c r="M15" i="34"/>
  <c r="M24" i="34"/>
  <c r="M51" i="34"/>
  <c r="N36" i="32"/>
  <c r="O36" i="32" s="1"/>
  <c r="M39" i="34"/>
  <c r="O39" i="34" s="1"/>
  <c r="M54" i="34"/>
  <c r="M51" i="5"/>
  <c r="O51" i="5" s="1"/>
  <c r="M47" i="5"/>
  <c r="O47" i="5" s="1"/>
  <c r="M45" i="5"/>
  <c r="O45" i="5" s="1"/>
  <c r="M36" i="5"/>
  <c r="O36" i="5" s="1"/>
  <c r="M54" i="33"/>
  <c r="M24" i="33"/>
  <c r="N24" i="33"/>
  <c r="N17" i="30"/>
  <c r="O17" i="30" s="1"/>
  <c r="M54" i="30"/>
  <c r="O54" i="30" s="1"/>
  <c r="M32" i="33"/>
  <c r="M31" i="33"/>
  <c r="M21" i="33"/>
  <c r="O21" i="33" s="1"/>
  <c r="M45" i="33"/>
  <c r="M17" i="33"/>
  <c r="O17" i="33" s="1"/>
  <c r="N47" i="33"/>
  <c r="N54" i="33"/>
  <c r="N45" i="33"/>
  <c r="N32" i="33"/>
  <c r="M32" i="32"/>
  <c r="M16" i="32"/>
  <c r="N17" i="34"/>
  <c r="N31" i="34"/>
  <c r="N21" i="34"/>
  <c r="O21" i="34" s="1"/>
  <c r="N24" i="34"/>
  <c r="M31" i="34"/>
  <c r="M32" i="34"/>
  <c r="M31" i="30"/>
  <c r="M46" i="5"/>
  <c r="O46" i="5" s="1"/>
  <c r="N54" i="34"/>
  <c r="M51" i="30"/>
  <c r="O51" i="30" s="1"/>
  <c r="M32" i="5"/>
  <c r="O32" i="5" s="1"/>
  <c r="N32" i="32"/>
  <c r="M47" i="33"/>
  <c r="M45" i="30"/>
  <c r="N45" i="30"/>
  <c r="N33" i="5"/>
  <c r="N40" i="5" s="1"/>
  <c r="O30" i="5"/>
  <c r="F55" i="5"/>
  <c r="N48" i="5"/>
  <c r="N55" i="5" s="1"/>
  <c r="F40" i="5"/>
  <c r="M16" i="5"/>
  <c r="O16" i="5" s="1"/>
  <c r="N18" i="5"/>
  <c r="N25" i="5" s="1"/>
  <c r="M15" i="5"/>
  <c r="O15" i="5" s="1"/>
  <c r="F25" i="5"/>
  <c r="M21" i="30"/>
  <c r="O21" i="30" s="1"/>
  <c r="N47" i="30"/>
  <c r="N15" i="30"/>
  <c r="N31" i="30"/>
  <c r="N16" i="30"/>
  <c r="O16" i="30" s="1"/>
  <c r="F25" i="30"/>
  <c r="K25" i="33"/>
  <c r="F25" i="33"/>
  <c r="N16" i="33"/>
  <c r="N15" i="33"/>
  <c r="N31" i="32"/>
  <c r="F25" i="32"/>
  <c r="M31" i="32"/>
  <c r="M15" i="32"/>
  <c r="M17" i="32"/>
  <c r="O17" i="32" s="1"/>
  <c r="F40" i="32"/>
  <c r="K25" i="5"/>
  <c r="M24" i="5"/>
  <c r="O24" i="5" s="1"/>
  <c r="K40" i="5"/>
  <c r="M39" i="5"/>
  <c r="O39" i="5" s="1"/>
  <c r="K55" i="5"/>
  <c r="M54" i="5"/>
  <c r="O54" i="5" s="1"/>
  <c r="N24" i="30"/>
  <c r="O24" i="30" s="1"/>
  <c r="K40" i="30"/>
  <c r="N36" i="30"/>
  <c r="O36" i="30" s="1"/>
  <c r="M18" i="30"/>
  <c r="N39" i="30"/>
  <c r="O39" i="30" s="1"/>
  <c r="K55" i="30"/>
  <c r="N32" i="30"/>
  <c r="M47" i="30"/>
  <c r="F40" i="33"/>
  <c r="N36" i="33"/>
  <c r="O36" i="33" s="1"/>
  <c r="N31" i="33"/>
  <c r="M51" i="33"/>
  <c r="O51" i="33" s="1"/>
  <c r="F55" i="33"/>
  <c r="N45" i="32"/>
  <c r="M54" i="32"/>
  <c r="O54" i="32" s="1"/>
  <c r="M45" i="32"/>
  <c r="N47" i="32"/>
  <c r="K40" i="32"/>
  <c r="N16" i="32"/>
  <c r="N18" i="32" s="1"/>
  <c r="N21" i="32"/>
  <c r="O21" i="32" s="1"/>
  <c r="M51" i="32"/>
  <c r="O51" i="32" s="1"/>
  <c r="K25" i="32"/>
  <c r="M24" i="32"/>
  <c r="O24" i="32" s="1"/>
  <c r="M39" i="32"/>
  <c r="O39" i="32" s="1"/>
  <c r="M46" i="32"/>
  <c r="N46" i="32"/>
  <c r="M47" i="32"/>
  <c r="F25" i="34"/>
  <c r="M45" i="34"/>
  <c r="N45" i="34"/>
  <c r="K25" i="34"/>
  <c r="O36" i="34"/>
  <c r="F40" i="34"/>
  <c r="K40" i="34"/>
  <c r="N47" i="34"/>
  <c r="N51" i="34"/>
  <c r="N18" i="34" l="1"/>
  <c r="N25" i="34" s="1"/>
  <c r="O15" i="33"/>
  <c r="O16" i="33"/>
  <c r="O24" i="34"/>
  <c r="N39" i="33"/>
  <c r="O54" i="34"/>
  <c r="M47" i="34"/>
  <c r="O47" i="34" s="1"/>
  <c r="O51" i="34"/>
  <c r="K40" i="33"/>
  <c r="M39" i="33"/>
  <c r="O39" i="33" s="1"/>
  <c r="O24" i="33"/>
  <c r="N48" i="33"/>
  <c r="N55" i="33" s="1"/>
  <c r="O31" i="33"/>
  <c r="M18" i="33"/>
  <c r="M25" i="33" s="1"/>
  <c r="O45" i="33"/>
  <c r="O47" i="33"/>
  <c r="N33" i="33"/>
  <c r="N48" i="30"/>
  <c r="N55" i="30" s="1"/>
  <c r="O31" i="30"/>
  <c r="O30" i="30"/>
  <c r="M46" i="33"/>
  <c r="O46" i="33" s="1"/>
  <c r="O32" i="33"/>
  <c r="K55" i="33"/>
  <c r="O54" i="33"/>
  <c r="M33" i="33"/>
  <c r="O32" i="32"/>
  <c r="O17" i="34"/>
  <c r="M18" i="34"/>
  <c r="M25" i="34" s="1"/>
  <c r="O30" i="34"/>
  <c r="O31" i="34"/>
  <c r="K55" i="34"/>
  <c r="M48" i="5"/>
  <c r="M55" i="5" s="1"/>
  <c r="O47" i="30"/>
  <c r="M46" i="30"/>
  <c r="O46" i="30" s="1"/>
  <c r="O45" i="30"/>
  <c r="F40" i="30"/>
  <c r="O48" i="5"/>
  <c r="O55" i="5" s="1"/>
  <c r="F55" i="32"/>
  <c r="O45" i="34"/>
  <c r="N18" i="30"/>
  <c r="N25" i="30" s="1"/>
  <c r="O33" i="5"/>
  <c r="O40" i="5" s="1"/>
  <c r="K55" i="32"/>
  <c r="M25" i="30"/>
  <c r="N48" i="32"/>
  <c r="N55" i="32" s="1"/>
  <c r="M18" i="32"/>
  <c r="M25" i="32" s="1"/>
  <c r="O31" i="32"/>
  <c r="M33" i="5"/>
  <c r="M40" i="5" s="1"/>
  <c r="N58" i="5"/>
  <c r="F14" i="14" s="1"/>
  <c r="M18" i="5"/>
  <c r="M25" i="5" s="1"/>
  <c r="O18" i="5"/>
  <c r="O25" i="5" s="1"/>
  <c r="F55" i="30"/>
  <c r="M32" i="30"/>
  <c r="M33" i="30" s="1"/>
  <c r="M40" i="30" s="1"/>
  <c r="N33" i="30"/>
  <c r="N40" i="30" s="1"/>
  <c r="O15" i="30"/>
  <c r="O18" i="30" s="1"/>
  <c r="O25" i="30" s="1"/>
  <c r="N18" i="33"/>
  <c r="N25" i="33" s="1"/>
  <c r="N33" i="32"/>
  <c r="N40" i="32" s="1"/>
  <c r="M33" i="32"/>
  <c r="M40" i="32" s="1"/>
  <c r="O15" i="32"/>
  <c r="O15" i="34"/>
  <c r="N25" i="32"/>
  <c r="O30" i="32"/>
  <c r="O47" i="32"/>
  <c r="O16" i="32"/>
  <c r="O46" i="32"/>
  <c r="M48" i="32"/>
  <c r="M55" i="32" s="1"/>
  <c r="O45" i="32"/>
  <c r="O32" i="34"/>
  <c r="M33" i="34"/>
  <c r="M40" i="34" s="1"/>
  <c r="F55" i="34"/>
  <c r="O16" i="34"/>
  <c r="M46" i="34"/>
  <c r="O46" i="34" s="1"/>
  <c r="N48" i="34"/>
  <c r="N55" i="34" s="1"/>
  <c r="N33" i="34"/>
  <c r="N40" i="34" s="1"/>
  <c r="B54" i="29"/>
  <c r="B51" i="29"/>
  <c r="H54" i="29"/>
  <c r="H48" i="29"/>
  <c r="M47" i="29"/>
  <c r="M45" i="29"/>
  <c r="H39" i="29"/>
  <c r="D33" i="29"/>
  <c r="N32" i="29"/>
  <c r="M32" i="29"/>
  <c r="N31" i="29"/>
  <c r="M29" i="29"/>
  <c r="M44" i="29" s="1"/>
  <c r="A29" i="29"/>
  <c r="A44" i="29" s="1"/>
  <c r="K24" i="29"/>
  <c r="H24" i="29"/>
  <c r="F21" i="29"/>
  <c r="D18" i="29"/>
  <c r="K17" i="29"/>
  <c r="F17" i="29"/>
  <c r="O17" i="29"/>
  <c r="K16" i="29"/>
  <c r="F16" i="29"/>
  <c r="K15" i="29"/>
  <c r="F15" i="29"/>
  <c r="M24" i="29" l="1"/>
  <c r="O24" i="29" s="1"/>
  <c r="M21" i="29"/>
  <c r="O21" i="29" s="1"/>
  <c r="M36" i="29"/>
  <c r="O36" i="29" s="1"/>
  <c r="M46" i="29"/>
  <c r="M48" i="29" s="1"/>
  <c r="M31" i="29"/>
  <c r="O31" i="29" s="1"/>
  <c r="M15" i="29"/>
  <c r="N40" i="33"/>
  <c r="N58" i="33" s="1"/>
  <c r="F11" i="14" s="1"/>
  <c r="O18" i="33"/>
  <c r="O25" i="33" s="1"/>
  <c r="M40" i="33"/>
  <c r="M48" i="33"/>
  <c r="M55" i="33" s="1"/>
  <c r="O48" i="33"/>
  <c r="O55" i="33" s="1"/>
  <c r="O33" i="34"/>
  <c r="O40" i="34" s="1"/>
  <c r="M48" i="30"/>
  <c r="M55" i="30" s="1"/>
  <c r="M58" i="30" s="1"/>
  <c r="O48" i="30"/>
  <c r="O55" i="30" s="1"/>
  <c r="M51" i="29"/>
  <c r="O51" i="29" s="1"/>
  <c r="M16" i="29"/>
  <c r="O16" i="29" s="1"/>
  <c r="O30" i="33"/>
  <c r="O33" i="33" s="1"/>
  <c r="O40" i="33" s="1"/>
  <c r="O48" i="34"/>
  <c r="O55" i="34" s="1"/>
  <c r="N58" i="30"/>
  <c r="O33" i="32"/>
  <c r="O40" i="32" s="1"/>
  <c r="O58" i="5"/>
  <c r="G14" i="14" s="1"/>
  <c r="I14" i="14" s="1"/>
  <c r="N58" i="32"/>
  <c r="F10" i="14" s="1"/>
  <c r="M58" i="5"/>
  <c r="E14" i="14" s="1"/>
  <c r="O32" i="30"/>
  <c r="O33" i="30" s="1"/>
  <c r="O40" i="30" s="1"/>
  <c r="O30" i="29"/>
  <c r="K40" i="29"/>
  <c r="O18" i="32"/>
  <c r="O25" i="32" s="1"/>
  <c r="O18" i="34"/>
  <c r="O25" i="34" s="1"/>
  <c r="O32" i="29"/>
  <c r="N18" i="29"/>
  <c r="N25" i="29" s="1"/>
  <c r="O48" i="32"/>
  <c r="O55" i="32" s="1"/>
  <c r="M58" i="32"/>
  <c r="E10" i="14" s="1"/>
  <c r="M48" i="34"/>
  <c r="M55" i="34" s="1"/>
  <c r="M58" i="34" s="1"/>
  <c r="E9" i="14" s="1"/>
  <c r="N58" i="34"/>
  <c r="F9" i="14" s="1"/>
  <c r="F25" i="29"/>
  <c r="K25" i="29"/>
  <c r="O47" i="29"/>
  <c r="N48" i="29"/>
  <c r="N55" i="29" s="1"/>
  <c r="N33" i="29"/>
  <c r="N40" i="29" s="1"/>
  <c r="O45" i="29"/>
  <c r="F55" i="29"/>
  <c r="M39" i="29" l="1"/>
  <c r="O39" i="29" s="1"/>
  <c r="F40" i="29"/>
  <c r="O46" i="29"/>
  <c r="O48" i="29" s="1"/>
  <c r="M58" i="33"/>
  <c r="E11" i="14" s="1"/>
  <c r="I11" i="14" s="1"/>
  <c r="O58" i="34"/>
  <c r="G9" i="14" s="1"/>
  <c r="O58" i="30"/>
  <c r="M18" i="29"/>
  <c r="M25" i="29" s="1"/>
  <c r="O58" i="33"/>
  <c r="G11" i="14" s="1"/>
  <c r="M33" i="29"/>
  <c r="O58" i="32"/>
  <c r="G10" i="14" s="1"/>
  <c r="O33" i="29"/>
  <c r="I10" i="14"/>
  <c r="I9" i="14"/>
  <c r="O15" i="29"/>
  <c r="O18" i="29" s="1"/>
  <c r="O25" i="29" s="1"/>
  <c r="N58" i="29"/>
  <c r="F12" i="14" s="1"/>
  <c r="O40" i="29" l="1"/>
  <c r="M40" i="29"/>
  <c r="M54" i="29"/>
  <c r="K55" i="29"/>
  <c r="E13" i="14"/>
  <c r="F13" i="14"/>
  <c r="O54" i="29" l="1"/>
  <c r="O55" i="29" s="1"/>
  <c r="O58" i="29" s="1"/>
  <c r="G12" i="14" s="1"/>
  <c r="I12" i="14" s="1"/>
  <c r="M55" i="29"/>
  <c r="M58" i="29" s="1"/>
  <c r="E12" i="14" s="1"/>
  <c r="I13" i="14"/>
  <c r="G13" i="14"/>
  <c r="D16" i="14" l="1"/>
  <c r="F16" i="14" l="1"/>
  <c r="I16" i="14" l="1"/>
  <c r="E16" i="14"/>
  <c r="G16" i="14" l="1"/>
</calcChain>
</file>

<file path=xl/sharedStrings.xml><?xml version="1.0" encoding="utf-8"?>
<sst xmlns="http://schemas.openxmlformats.org/spreadsheetml/2006/main" count="505" uniqueCount="51">
  <si>
    <t>Driftsbusser</t>
  </si>
  <si>
    <t>Busantal</t>
  </si>
  <si>
    <t>Busafhængige udgifter 
pr. driftbus pr. måned</t>
  </si>
  <si>
    <t>Busafhængige udgifter 
driftbusser pr. år</t>
  </si>
  <si>
    <t>Afregningstimer</t>
  </si>
  <si>
    <t>Øvrige timeafhængige
udgifter pr. 
afregningstime</t>
  </si>
  <si>
    <t>Chaufførafhængige
udgifter pr. 
afregningstime</t>
  </si>
  <si>
    <t>Øvrige timeafhængige og chaufførafhængige
udgifter pr. år</t>
  </si>
  <si>
    <t>Udbuds-
køreplan
Timer pr. år</t>
  </si>
  <si>
    <t>Faste omkostninger pr. år</t>
  </si>
  <si>
    <t>Drivmiddel</t>
  </si>
  <si>
    <t>Diesel</t>
  </si>
  <si>
    <t>Regionen</t>
  </si>
  <si>
    <t>Driftsbusser kontraktperiode</t>
  </si>
  <si>
    <t>Bustype</t>
  </si>
  <si>
    <t>I alt i kontraktperioden</t>
  </si>
  <si>
    <t>Total</t>
  </si>
  <si>
    <t>Dubleringssats</t>
  </si>
  <si>
    <t>Forventet timer pr. år</t>
  </si>
  <si>
    <t>Timepris</t>
  </si>
  <si>
    <t>Dubleringsudgifter pr. år</t>
  </si>
  <si>
    <t>Middelfart lokal</t>
  </si>
  <si>
    <t>Middelfart bybus</t>
  </si>
  <si>
    <t>Assens lokal</t>
  </si>
  <si>
    <t>Nordfyns lokal</t>
  </si>
  <si>
    <t>Kerteminde lokal</t>
  </si>
  <si>
    <t>Pakke 1 i alt</t>
  </si>
  <si>
    <t>Antal busser</t>
  </si>
  <si>
    <t>Faste omkostninger pr. md</t>
  </si>
  <si>
    <t>Total pris i kr.</t>
  </si>
  <si>
    <t>Diesel i kr.</t>
  </si>
  <si>
    <t>Kontraktperiode år</t>
  </si>
  <si>
    <t>Udbud</t>
  </si>
  <si>
    <t>Antal busser pr. md</t>
  </si>
  <si>
    <t>Antal køreplantimer pr. år</t>
  </si>
  <si>
    <t>Brændstof</t>
  </si>
  <si>
    <t>Antal dubleringstimer pr. år</t>
  </si>
  <si>
    <t>Faste omkostninger</t>
  </si>
  <si>
    <t>Total:</t>
  </si>
  <si>
    <t>Tilbudsskema - Fælles udbud - pakke 1</t>
  </si>
  <si>
    <t>I alt</t>
  </si>
  <si>
    <t>Nulemission</t>
  </si>
  <si>
    <t>Ordinær kontraktperiode (Januar 2027-Januar 2039) - 12 år - Nulemission</t>
  </si>
  <si>
    <t>Delkontrakt</t>
  </si>
  <si>
    <t>Nulemission i kr.</t>
  </si>
  <si>
    <t>Kommunal</t>
  </si>
  <si>
    <t>Regional</t>
  </si>
  <si>
    <t>Minibus</t>
  </si>
  <si>
    <t>Evalueringspris - fratrukket 10% i prisen, ved afgivelse af nulemission på lokalruter           - i kr.</t>
  </si>
  <si>
    <t>Samlet overblik Pakke 1 - 16 år (januar 2027 - januar 2043)</t>
  </si>
  <si>
    <t>Option kontraktperiode (Januar 2039-Januar 2041) - 2 år - Nulemission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</si>
</sst>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_ ;_ * \-#,##0_ ;_ * &quot;-&quot;??_ ;_ @_ "/>
    <numFmt numFmtId="166" formatCode="_-* #,##0\ _k_r_._-;\-* #,##0\ _k_r_._-;_-* &quot;-&quot;??\ _k_r_._-;_-@_-"/>
  </numFmts>
  <fonts count="10" x14ac:knownFonts="1">
    <font>
      <sz val="11"/>
      <color theme="1"/>
      <name val="Calibri"/>
      <family val="2"/>
      <scheme val="minor"/>
    </font>
    <font>
      <sz val="11"/>
      <color theme="1"/>
      <name val="Calibri"/>
      <family val="2"/>
      <scheme val="minor"/>
    </font>
    <font>
      <b/>
      <sz val="14"/>
      <color theme="1"/>
      <name val="Gill Sans MT"/>
      <family val="2"/>
    </font>
    <font>
      <b/>
      <sz val="12"/>
      <color theme="1"/>
      <name val="Gill Sans MT"/>
      <family val="2"/>
    </font>
    <font>
      <sz val="10"/>
      <color theme="1"/>
      <name val="Gill Sans MT"/>
      <family val="2"/>
    </font>
    <font>
      <b/>
      <sz val="10"/>
      <color theme="1"/>
      <name val="Gill Sans MT"/>
      <family val="2"/>
    </font>
    <font>
      <b/>
      <sz val="10"/>
      <color rgb="FF000000"/>
      <name val="Gill Sans MT"/>
      <family val="2"/>
    </font>
    <font>
      <b/>
      <sz val="11"/>
      <color theme="1"/>
      <name val="Calibri"/>
      <family val="2"/>
      <scheme val="minor"/>
    </font>
    <font>
      <sz val="11"/>
      <color rgb="FFFF0000"/>
      <name val="Calibri"/>
      <family val="2"/>
      <scheme val="minor"/>
    </font>
    <font>
      <b/>
      <sz val="16"/>
      <color theme="1"/>
      <name val="Gill Sans MT"/>
      <family val="2"/>
    </font>
  </fonts>
  <fills count="4">
    <fill>
      <patternFill patternType="none"/>
    </fill>
    <fill>
      <patternFill patternType="gray125"/>
    </fill>
    <fill>
      <patternFill patternType="solid">
        <fgColor theme="6"/>
        <bgColor indexed="64"/>
      </patternFill>
    </fill>
    <fill>
      <patternFill patternType="solid">
        <fgColor rgb="FFFFFF00"/>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style="medium">
        <color indexed="64"/>
      </top>
      <bottom style="thin">
        <color indexed="64"/>
      </bottom>
      <diagonal/>
    </border>
  </borders>
  <cellStyleXfs count="2">
    <xf numFmtId="0" fontId="0" fillId="0" borderId="0"/>
    <xf numFmtId="164" fontId="1" fillId="0" borderId="0" applyFont="0" applyFill="0" applyBorder="0" applyAlignment="0" applyProtection="0"/>
  </cellStyleXfs>
  <cellXfs count="149">
    <xf numFmtId="0" fontId="0" fillId="0" borderId="0" xfId="0"/>
    <xf numFmtId="165" fontId="4" fillId="0" borderId="0" xfId="1" applyNumberFormat="1" applyFont="1" applyFill="1" applyBorder="1" applyProtection="1"/>
    <xf numFmtId="165" fontId="4" fillId="0" borderId="25" xfId="1" applyNumberFormat="1" applyFont="1" applyFill="1" applyBorder="1" applyProtection="1"/>
    <xf numFmtId="165" fontId="4" fillId="0" borderId="34" xfId="1" applyNumberFormat="1" applyFont="1" applyFill="1" applyBorder="1" applyProtection="1"/>
    <xf numFmtId="4" fontId="4" fillId="3" borderId="4" xfId="0" applyNumberFormat="1" applyFont="1" applyFill="1" applyBorder="1" applyAlignment="1" applyProtection="1">
      <alignment horizontal="right"/>
      <protection locked="0"/>
    </xf>
    <xf numFmtId="4" fontId="4" fillId="3" borderId="17" xfId="0" applyNumberFormat="1" applyFont="1" applyFill="1" applyBorder="1" applyAlignment="1" applyProtection="1">
      <alignment horizontal="right"/>
      <protection locked="0"/>
    </xf>
    <xf numFmtId="3" fontId="4" fillId="3" borderId="10" xfId="0" applyNumberFormat="1" applyFont="1" applyFill="1" applyBorder="1" applyAlignment="1" applyProtection="1">
      <alignment horizontal="right"/>
      <protection locked="0"/>
    </xf>
    <xf numFmtId="3" fontId="4" fillId="3" borderId="4" xfId="0" applyNumberFormat="1" applyFont="1" applyFill="1" applyBorder="1" applyAlignment="1" applyProtection="1">
      <alignment horizontal="right"/>
      <protection locked="0"/>
    </xf>
    <xf numFmtId="165" fontId="4" fillId="0" borderId="10" xfId="1" applyNumberFormat="1" applyFont="1" applyFill="1" applyBorder="1" applyProtection="1"/>
    <xf numFmtId="0" fontId="5" fillId="3" borderId="1" xfId="0" applyFont="1" applyFill="1" applyBorder="1" applyAlignment="1" applyProtection="1">
      <alignment horizontal="center" vertical="center" wrapText="1"/>
      <protection locked="0"/>
    </xf>
    <xf numFmtId="3" fontId="4" fillId="0" borderId="4" xfId="0" applyNumberFormat="1" applyFont="1" applyBorder="1" applyAlignment="1">
      <alignment horizontal="right"/>
    </xf>
    <xf numFmtId="0" fontId="2" fillId="0" borderId="0" xfId="0" applyFont="1" applyAlignment="1">
      <alignment vertical="center"/>
    </xf>
    <xf numFmtId="0" fontId="3" fillId="0" borderId="0" xfId="0" applyFont="1" applyAlignment="1">
      <alignment vertical="center"/>
    </xf>
    <xf numFmtId="0" fontId="9" fillId="0" borderId="0" xfId="0" applyFont="1" applyAlignment="1">
      <alignment vertical="center"/>
    </xf>
    <xf numFmtId="165" fontId="3" fillId="0" borderId="0" xfId="1" applyNumberFormat="1" applyFont="1" applyAlignment="1" applyProtection="1">
      <alignment vertical="center"/>
    </xf>
    <xf numFmtId="0" fontId="7" fillId="2" borderId="13" xfId="0" applyFont="1" applyFill="1" applyBorder="1"/>
    <xf numFmtId="0" fontId="7" fillId="2" borderId="14" xfId="0" applyFont="1" applyFill="1" applyBorder="1"/>
    <xf numFmtId="0" fontId="7" fillId="2" borderId="14" xfId="0" applyFont="1" applyFill="1" applyBorder="1" applyAlignment="1">
      <alignment horizontal="center"/>
    </xf>
    <xf numFmtId="0" fontId="8" fillId="2" borderId="14" xfId="0" applyFont="1" applyFill="1" applyBorder="1"/>
    <xf numFmtId="0" fontId="0" fillId="2" borderId="15" xfId="0" applyFill="1" applyBorder="1"/>
    <xf numFmtId="0" fontId="4" fillId="0" borderId="8" xfId="0" applyFont="1" applyBorder="1"/>
    <xf numFmtId="0" fontId="4" fillId="0" borderId="0" xfId="0" applyFont="1"/>
    <xf numFmtId="0" fontId="4" fillId="0" borderId="43" xfId="0" applyFont="1" applyBorder="1"/>
    <xf numFmtId="0" fontId="5" fillId="0" borderId="0" xfId="0" applyFont="1" applyAlignment="1">
      <alignment horizontal="center"/>
    </xf>
    <xf numFmtId="0" fontId="0" fillId="0" borderId="30" xfId="0" applyBorder="1"/>
    <xf numFmtId="0" fontId="5" fillId="0" borderId="5" xfId="0" applyFont="1" applyBorder="1" applyAlignment="1">
      <alignment horizontal="center"/>
    </xf>
    <xf numFmtId="0" fontId="5" fillId="0" borderId="23" xfId="0" applyFont="1" applyBorder="1" applyAlignment="1">
      <alignment horizontal="center"/>
    </xf>
    <xf numFmtId="0" fontId="4" fillId="0" borderId="6" xfId="0" applyFont="1" applyBorder="1"/>
    <xf numFmtId="0" fontId="5" fillId="0" borderId="4" xfId="0" applyFont="1" applyBorder="1" applyAlignment="1">
      <alignment horizontal="center"/>
    </xf>
    <xf numFmtId="0" fontId="5" fillId="0" borderId="24"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6" fillId="0" borderId="32"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0" xfId="0" applyFont="1" applyAlignment="1">
      <alignment horizontal="center" vertical="center" wrapText="1"/>
    </xf>
    <xf numFmtId="0" fontId="6" fillId="0" borderId="10"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4" xfId="0" applyFont="1" applyBorder="1" applyAlignment="1">
      <alignment horizontal="center" vertical="center" wrapText="1"/>
    </xf>
    <xf numFmtId="0" fontId="5" fillId="0" borderId="4" xfId="0" applyFont="1" applyBorder="1" applyAlignment="1">
      <alignment horizontal="center" vertical="center" wrapText="1"/>
    </xf>
    <xf numFmtId="4" fontId="4" fillId="0" borderId="24" xfId="0" applyNumberFormat="1" applyFont="1" applyBorder="1"/>
    <xf numFmtId="3" fontId="4" fillId="3" borderId="10" xfId="0" applyNumberFormat="1" applyFont="1" applyFill="1" applyBorder="1" applyAlignment="1">
      <alignment horizontal="right"/>
    </xf>
    <xf numFmtId="4" fontId="4" fillId="0" borderId="0" xfId="0" applyNumberFormat="1" applyFont="1"/>
    <xf numFmtId="4" fontId="0" fillId="0" borderId="10" xfId="1" applyNumberFormat="1" applyFont="1" applyBorder="1" applyAlignment="1" applyProtection="1">
      <alignment horizontal="right"/>
    </xf>
    <xf numFmtId="4" fontId="0" fillId="0" borderId="4" xfId="1" applyNumberFormat="1" applyFont="1" applyBorder="1" applyAlignment="1" applyProtection="1">
      <alignment horizontal="right"/>
    </xf>
    <xf numFmtId="4" fontId="0" fillId="0" borderId="24" xfId="1" applyNumberFormat="1" applyFont="1" applyBorder="1" applyProtection="1"/>
    <xf numFmtId="0" fontId="5" fillId="0" borderId="0" xfId="0" applyFont="1"/>
    <xf numFmtId="0" fontId="5" fillId="0" borderId="8" xfId="0" applyFont="1" applyBorder="1" applyAlignment="1">
      <alignment horizontal="center" vertical="center" wrapText="1"/>
    </xf>
    <xf numFmtId="0" fontId="0" fillId="0" borderId="4" xfId="0" applyBorder="1"/>
    <xf numFmtId="0" fontId="0" fillId="0" borderId="9" xfId="0" applyBorder="1"/>
    <xf numFmtId="4" fontId="7" fillId="0" borderId="10" xfId="0" applyNumberFormat="1" applyFont="1" applyBorder="1" applyAlignment="1">
      <alignment horizontal="right"/>
    </xf>
    <xf numFmtId="4" fontId="7" fillId="0" borderId="4" xfId="0" applyNumberFormat="1" applyFont="1" applyBorder="1"/>
    <xf numFmtId="4" fontId="7" fillId="0" borderId="3" xfId="0" applyNumberFormat="1" applyFont="1" applyBorder="1"/>
    <xf numFmtId="0" fontId="5" fillId="0" borderId="0" xfId="0" applyFont="1" applyAlignment="1">
      <alignment horizontal="center" vertical="center" wrapText="1"/>
    </xf>
    <xf numFmtId="0" fontId="0" fillId="0" borderId="8" xfId="0" applyBorder="1"/>
    <xf numFmtId="4" fontId="7" fillId="0" borderId="2" xfId="0" applyNumberFormat="1" applyFont="1" applyBorder="1"/>
    <xf numFmtId="4" fontId="0" fillId="0" borderId="10" xfId="0" applyNumberFormat="1" applyBorder="1" applyAlignment="1">
      <alignment horizontal="right"/>
    </xf>
    <xf numFmtId="4" fontId="0" fillId="0" borderId="4" xfId="0" applyNumberFormat="1" applyBorder="1"/>
    <xf numFmtId="4" fontId="0" fillId="0" borderId="24" xfId="0" applyNumberFormat="1" applyBorder="1"/>
    <xf numFmtId="0" fontId="6" fillId="0" borderId="30"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2" xfId="0" applyFont="1" applyBorder="1" applyAlignment="1">
      <alignment horizontal="center" vertical="center" wrapText="1"/>
    </xf>
    <xf numFmtId="4" fontId="7" fillId="0" borderId="10" xfId="1" applyNumberFormat="1" applyFont="1" applyBorder="1" applyAlignment="1" applyProtection="1">
      <alignment horizontal="right"/>
    </xf>
    <xf numFmtId="4" fontId="7" fillId="0" borderId="4" xfId="1" applyNumberFormat="1" applyFont="1" applyBorder="1" applyAlignment="1" applyProtection="1">
      <alignment horizontal="right"/>
    </xf>
    <xf numFmtId="4" fontId="7" fillId="0" borderId="24" xfId="1" applyNumberFormat="1" applyFont="1" applyBorder="1" applyProtection="1"/>
    <xf numFmtId="0" fontId="6" fillId="0" borderId="8" xfId="0" applyFont="1" applyBorder="1" applyAlignment="1">
      <alignment horizontal="center" vertical="center" wrapText="1"/>
    </xf>
    <xf numFmtId="0" fontId="4" fillId="0" borderId="9" xfId="0" applyFont="1" applyBorder="1"/>
    <xf numFmtId="4" fontId="4" fillId="0" borderId="32" xfId="0" applyNumberFormat="1" applyFont="1" applyBorder="1" applyAlignment="1">
      <alignment horizontal="right"/>
    </xf>
    <xf numFmtId="4" fontId="4" fillId="0" borderId="35" xfId="0" applyNumberFormat="1" applyFont="1" applyBorder="1"/>
    <xf numFmtId="4" fontId="7" fillId="0" borderId="31" xfId="0" applyNumberFormat="1" applyFont="1" applyBorder="1" applyAlignment="1">
      <alignment horizontal="right"/>
    </xf>
    <xf numFmtId="4" fontId="4" fillId="0" borderId="4" xfId="0" applyNumberFormat="1" applyFont="1" applyBorder="1" applyAlignment="1">
      <alignment horizontal="right"/>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3" fontId="5" fillId="0" borderId="19" xfId="1" applyNumberFormat="1" applyFont="1" applyBorder="1" applyAlignment="1" applyProtection="1">
      <alignment horizontal="center" vertical="center" wrapText="1"/>
    </xf>
    <xf numFmtId="4" fontId="4" fillId="0" borderId="40" xfId="0" applyNumberFormat="1" applyFont="1" applyBorder="1" applyAlignment="1">
      <alignment horizontal="right"/>
    </xf>
    <xf numFmtId="4" fontId="7" fillId="0" borderId="35" xfId="1" applyNumberFormat="1" applyFont="1" applyBorder="1" applyProtection="1"/>
    <xf numFmtId="0" fontId="7" fillId="0" borderId="13" xfId="0" applyFont="1" applyBorder="1"/>
    <xf numFmtId="0" fontId="0" fillId="0" borderId="14" xfId="0" applyBorder="1"/>
    <xf numFmtId="4" fontId="0" fillId="0" borderId="15" xfId="0" applyNumberFormat="1" applyBorder="1"/>
    <xf numFmtId="0" fontId="0" fillId="0" borderId="13" xfId="0" applyBorder="1"/>
    <xf numFmtId="4" fontId="7" fillId="0" borderId="15" xfId="0" applyNumberFormat="1" applyFont="1" applyBorder="1"/>
    <xf numFmtId="4" fontId="7" fillId="0" borderId="36" xfId="0" applyNumberFormat="1" applyFont="1" applyBorder="1" applyAlignment="1">
      <alignment horizontal="right"/>
    </xf>
    <xf numFmtId="0" fontId="0" fillId="0" borderId="7" xfId="0" applyBorder="1"/>
    <xf numFmtId="4" fontId="0" fillId="0" borderId="0" xfId="0" applyNumberFormat="1" applyAlignment="1">
      <alignment horizontal="right"/>
    </xf>
    <xf numFmtId="4" fontId="0" fillId="0" borderId="0" xfId="0" applyNumberFormat="1"/>
    <xf numFmtId="4" fontId="7" fillId="2" borderId="14" xfId="0" applyNumberFormat="1" applyFont="1" applyFill="1" applyBorder="1" applyAlignment="1">
      <alignment horizontal="right"/>
    </xf>
    <xf numFmtId="4" fontId="7" fillId="2" borderId="14" xfId="0" applyNumberFormat="1" applyFont="1" applyFill="1" applyBorder="1"/>
    <xf numFmtId="4" fontId="7" fillId="2" borderId="15" xfId="0" applyNumberFormat="1" applyFont="1" applyFill="1" applyBorder="1"/>
    <xf numFmtId="4" fontId="0" fillId="0" borderId="30" xfId="0" applyNumberFormat="1" applyBorder="1" applyAlignment="1">
      <alignment horizontal="right"/>
    </xf>
    <xf numFmtId="4" fontId="5" fillId="0" borderId="5" xfId="0" applyNumberFormat="1" applyFont="1" applyBorder="1" applyAlignment="1">
      <alignment horizontal="center"/>
    </xf>
    <xf numFmtId="4" fontId="5" fillId="0" borderId="23" xfId="0" applyNumberFormat="1" applyFont="1" applyBorder="1" applyAlignment="1">
      <alignment horizontal="center"/>
    </xf>
    <xf numFmtId="4" fontId="7" fillId="0" borderId="10" xfId="0" applyNumberFormat="1" applyFont="1" applyBorder="1"/>
    <xf numFmtId="3" fontId="5" fillId="0" borderId="19" xfId="0" applyNumberFormat="1" applyFont="1" applyBorder="1" applyAlignment="1">
      <alignment horizontal="center" vertical="center" wrapText="1"/>
    </xf>
    <xf numFmtId="4" fontId="4" fillId="0" borderId="17" xfId="0" applyNumberFormat="1" applyFont="1" applyBorder="1" applyAlignment="1">
      <alignment horizontal="right"/>
    </xf>
    <xf numFmtId="0" fontId="6" fillId="0" borderId="34" xfId="0" applyFont="1" applyBorder="1" applyAlignment="1">
      <alignment horizontal="center" vertical="center" wrapText="1"/>
    </xf>
    <xf numFmtId="4" fontId="6" fillId="0" borderId="10" xfId="0" applyNumberFormat="1" applyFont="1" applyBorder="1" applyAlignment="1">
      <alignment horizontal="center" vertical="center" wrapText="1"/>
    </xf>
    <xf numFmtId="4" fontId="6" fillId="0" borderId="4" xfId="0" applyNumberFormat="1" applyFont="1" applyBorder="1" applyAlignment="1">
      <alignment horizontal="center" vertical="center" wrapText="1"/>
    </xf>
    <xf numFmtId="4" fontId="6" fillId="0" borderId="24" xfId="0" applyNumberFormat="1" applyFont="1" applyBorder="1" applyAlignment="1">
      <alignment horizontal="center" vertical="center" wrapText="1"/>
    </xf>
    <xf numFmtId="4" fontId="0" fillId="0" borderId="31" xfId="0" applyNumberFormat="1" applyBorder="1" applyAlignment="1">
      <alignment horizontal="right"/>
    </xf>
    <xf numFmtId="4" fontId="0" fillId="0" borderId="11" xfId="0" applyNumberFormat="1" applyBorder="1"/>
    <xf numFmtId="4" fontId="0" fillId="0" borderId="11" xfId="1" applyNumberFormat="1" applyFont="1" applyBorder="1" applyProtection="1"/>
    <xf numFmtId="4" fontId="0" fillId="0" borderId="35" xfId="1" applyNumberFormat="1" applyFont="1" applyBorder="1" applyProtection="1"/>
    <xf numFmtId="0" fontId="7" fillId="0" borderId="0" xfId="0" applyFont="1"/>
    <xf numFmtId="0" fontId="0" fillId="0" borderId="0" xfId="0" applyAlignment="1">
      <alignment horizontal="right"/>
    </xf>
    <xf numFmtId="4" fontId="4" fillId="0" borderId="24" xfId="0" applyNumberFormat="1" applyFont="1" applyBorder="1" applyAlignment="1">
      <alignment horizontal="right"/>
    </xf>
    <xf numFmtId="0" fontId="7" fillId="0" borderId="26" xfId="0" applyFont="1" applyBorder="1" applyAlignment="1">
      <alignment horizontal="center"/>
    </xf>
    <xf numFmtId="0" fontId="7" fillId="0" borderId="27" xfId="0" applyFont="1" applyBorder="1" applyAlignment="1">
      <alignment horizontal="center"/>
    </xf>
    <xf numFmtId="0" fontId="7" fillId="0" borderId="41" xfId="0" applyFont="1" applyBorder="1" applyAlignment="1">
      <alignment horizontal="center"/>
    </xf>
    <xf numFmtId="0" fontId="7" fillId="0" borderId="28" xfId="0" applyFont="1" applyBorder="1" applyAlignment="1">
      <alignment horizontal="center" wrapText="1"/>
    </xf>
    <xf numFmtId="0" fontId="0" fillId="0" borderId="10" xfId="0" applyBorder="1"/>
    <xf numFmtId="3" fontId="0" fillId="0" borderId="4" xfId="0" applyNumberFormat="1" applyBorder="1"/>
    <xf numFmtId="164" fontId="0" fillId="0" borderId="33" xfId="1" applyFont="1" applyBorder="1" applyProtection="1"/>
    <xf numFmtId="3" fontId="0" fillId="0" borderId="24" xfId="0" applyNumberFormat="1" applyBorder="1"/>
    <xf numFmtId="0" fontId="0" fillId="0" borderId="33" xfId="0" applyBorder="1"/>
    <xf numFmtId="0" fontId="7" fillId="0" borderId="16" xfId="0" applyFont="1" applyBorder="1"/>
    <xf numFmtId="0" fontId="7" fillId="0" borderId="17" xfId="0" applyFont="1" applyBorder="1"/>
    <xf numFmtId="3" fontId="7" fillId="0" borderId="17" xfId="1" applyNumberFormat="1" applyFont="1" applyBorder="1" applyProtection="1"/>
    <xf numFmtId="3" fontId="7" fillId="0" borderId="17" xfId="1" applyNumberFormat="1" applyFont="1" applyBorder="1" applyAlignment="1" applyProtection="1"/>
    <xf numFmtId="164" fontId="7" fillId="0" borderId="40" xfId="1" applyFont="1" applyBorder="1" applyProtection="1"/>
    <xf numFmtId="3" fontId="7" fillId="0" borderId="18" xfId="1" applyNumberFormat="1" applyFont="1" applyBorder="1" applyAlignment="1" applyProtection="1"/>
    <xf numFmtId="166" fontId="0" fillId="0" borderId="0" xfId="0" applyNumberFormat="1"/>
    <xf numFmtId="0" fontId="9" fillId="3" borderId="0" xfId="0" applyFont="1" applyFill="1" applyAlignment="1" applyProtection="1">
      <alignment vertical="center"/>
      <protection locked="0"/>
    </xf>
    <xf numFmtId="4" fontId="6" fillId="0" borderId="31" xfId="0" applyNumberFormat="1" applyFont="1" applyBorder="1" applyAlignment="1">
      <alignment horizontal="center" vertical="center" wrapText="1"/>
    </xf>
    <xf numFmtId="0" fontId="6" fillId="0" borderId="31" xfId="0" applyFont="1" applyBorder="1" applyAlignment="1">
      <alignment horizontal="center" vertical="center" wrapText="1"/>
    </xf>
    <xf numFmtId="0" fontId="7" fillId="0" borderId="0" xfId="0" applyFont="1" applyAlignment="1">
      <alignment horizontal="center"/>
    </xf>
    <xf numFmtId="0" fontId="7" fillId="2" borderId="1" xfId="0" applyFont="1" applyFill="1" applyBorder="1"/>
    <xf numFmtId="0" fontId="7" fillId="2" borderId="2" xfId="0" applyFont="1" applyFill="1" applyBorder="1"/>
    <xf numFmtId="0" fontId="7" fillId="2" borderId="3" xfId="0" applyFont="1" applyFill="1" applyBorder="1"/>
    <xf numFmtId="0" fontId="7" fillId="0" borderId="29" xfId="0" applyFont="1" applyBorder="1" applyAlignment="1">
      <alignment horizontal="center"/>
    </xf>
    <xf numFmtId="0" fontId="7" fillId="0" borderId="21" xfId="0" applyFont="1" applyBorder="1" applyAlignment="1">
      <alignment horizontal="center"/>
    </xf>
    <xf numFmtId="0" fontId="7" fillId="0" borderId="22" xfId="0" applyFont="1" applyBorder="1" applyAlignment="1">
      <alignment horizontal="center"/>
    </xf>
    <xf numFmtId="0" fontId="5" fillId="0" borderId="31" xfId="0" applyFont="1" applyBorder="1" applyAlignment="1">
      <alignment horizontal="center"/>
    </xf>
    <xf numFmtId="0" fontId="5" fillId="0" borderId="2" xfId="0" applyFont="1" applyBorder="1" applyAlignment="1">
      <alignment horizontal="center"/>
    </xf>
    <xf numFmtId="0" fontId="5" fillId="0" borderId="11" xfId="0" applyFont="1" applyBorder="1" applyAlignment="1">
      <alignment horizontal="center"/>
    </xf>
    <xf numFmtId="0" fontId="5" fillId="0" borderId="38" xfId="0" applyFont="1" applyBorder="1" applyAlignment="1">
      <alignment horizontal="center"/>
    </xf>
    <xf numFmtId="0" fontId="5" fillId="0" borderId="12" xfId="0" applyFont="1" applyBorder="1" applyAlignment="1">
      <alignment horizontal="center"/>
    </xf>
    <xf numFmtId="0" fontId="5" fillId="0" borderId="37" xfId="0" applyFont="1" applyBorder="1" applyAlignment="1">
      <alignment horizontal="center"/>
    </xf>
    <xf numFmtId="0" fontId="5" fillId="0" borderId="4" xfId="0" applyFont="1" applyBorder="1" applyAlignment="1">
      <alignment horizontal="center" vertical="center" wrapText="1"/>
    </xf>
    <xf numFmtId="0" fontId="5" fillId="0" borderId="42" xfId="0" applyFont="1" applyBorder="1" applyAlignment="1">
      <alignment horizontal="center"/>
    </xf>
    <xf numFmtId="0" fontId="5" fillId="0" borderId="29" xfId="0" applyFont="1" applyBorder="1" applyAlignment="1">
      <alignment horizontal="center"/>
    </xf>
    <xf numFmtId="0" fontId="5" fillId="0" borderId="21" xfId="0" applyFont="1" applyBorder="1" applyAlignment="1">
      <alignment horizontal="center"/>
    </xf>
    <xf numFmtId="0" fontId="5" fillId="0" borderId="22" xfId="0" applyFont="1" applyBorder="1" applyAlignment="1">
      <alignment horizontal="center"/>
    </xf>
    <xf numFmtId="0" fontId="5" fillId="0" borderId="10" xfId="0" applyFont="1" applyBorder="1" applyAlignment="1">
      <alignment horizontal="center" vertical="center" wrapText="1"/>
    </xf>
  </cellXfs>
  <cellStyles count="2">
    <cellStyle name="Komma" xfId="1" builtinId="3"/>
    <cellStyle name="Normal" xfId="0" builtinId="0"/>
  </cellStyles>
  <dxfs count="36">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57150</xdr:rowOff>
    </xdr:from>
    <xdr:ext cx="15430500" cy="2705100"/>
    <xdr:sp macro="" textlink="">
      <xdr:nvSpPr>
        <xdr:cNvPr id="2" name="Tekstfelt 1">
          <a:extLst>
            <a:ext uri="{FF2B5EF4-FFF2-40B4-BE49-F238E27FC236}">
              <a16:creationId xmlns:a16="http://schemas.microsoft.com/office/drawing/2014/main" id="{0B69A38C-C37E-48EA-BECE-029D9B703CEA}"/>
            </a:ext>
          </a:extLst>
        </xdr:cNvPr>
        <xdr:cNvSpPr txBox="1"/>
      </xdr:nvSpPr>
      <xdr:spPr>
        <a:xfrm>
          <a:off x="0" y="476250"/>
          <a:ext cx="15430500" cy="2705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7000"/>
            </a:lnSpc>
            <a:spcBef>
              <a:spcPts val="0"/>
            </a:spcBef>
            <a:spcAft>
              <a:spcPts val="80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Dette ark er et oversigtsark over det samlede tilbud. For afgivelse af tilbud udfyld følgende ark:</a:t>
          </a:r>
        </a:p>
        <a:p>
          <a:pPr marL="171450" marR="0" lvl="0" indent="-171450" defTabSz="914400" eaLnBrk="1" fontAlgn="auto" latinLnBrk="0" hangingPunct="1">
            <a:lnSpc>
              <a:spcPct val="107000"/>
            </a:lnSpc>
            <a:spcBef>
              <a:spcPts val="0"/>
            </a:spcBef>
            <a:spcAft>
              <a:spcPts val="800"/>
            </a:spcAft>
            <a:buClrTx/>
            <a:buSzTx/>
            <a:buFont typeface="Arial" panose="020B0604020202020204" pitchFamily="34" charset="0"/>
            <a:buChar char="•"/>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Tilbudsskema - Assens lokal</a:t>
          </a:r>
        </a:p>
        <a:p>
          <a:pPr marL="171450" marR="0" lvl="0" indent="-171450" defTabSz="914400" eaLnBrk="1" fontAlgn="auto" latinLnBrk="0" hangingPunct="1">
            <a:lnSpc>
              <a:spcPct val="107000"/>
            </a:lnSpc>
            <a:spcBef>
              <a:spcPts val="0"/>
            </a:spcBef>
            <a:spcAft>
              <a:spcPts val="800"/>
            </a:spcAft>
            <a:buClrTx/>
            <a:buSzTx/>
            <a:buFont typeface="Arial" panose="020B0604020202020204" pitchFamily="34" charset="0"/>
            <a:buChar char="•"/>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Tilbudsskema - Kerteminde lokal</a:t>
          </a:r>
        </a:p>
        <a:p>
          <a:pPr marL="171450" marR="0" lvl="0" indent="-171450" defTabSz="914400" eaLnBrk="1" fontAlgn="auto" latinLnBrk="0" hangingPunct="1">
            <a:lnSpc>
              <a:spcPct val="107000"/>
            </a:lnSpc>
            <a:spcBef>
              <a:spcPts val="0"/>
            </a:spcBef>
            <a:spcAft>
              <a:spcPts val="800"/>
            </a:spcAft>
            <a:buClrTx/>
            <a:buSzTx/>
            <a:buFont typeface="Arial" panose="020B0604020202020204" pitchFamily="34" charset="0"/>
            <a:buChar char="•"/>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Tilbudsskema - Nordfyns lokal</a:t>
          </a:r>
        </a:p>
        <a:p>
          <a:pPr marL="171450" marR="0" lvl="0" indent="-171450" defTabSz="914400" eaLnBrk="1" fontAlgn="auto" latinLnBrk="0" hangingPunct="1">
            <a:lnSpc>
              <a:spcPct val="107000"/>
            </a:lnSpc>
            <a:spcBef>
              <a:spcPts val="0"/>
            </a:spcBef>
            <a:spcAft>
              <a:spcPts val="800"/>
            </a:spcAft>
            <a:buClrTx/>
            <a:buSzTx/>
            <a:buFont typeface="Arial" panose="020B0604020202020204" pitchFamily="34" charset="0"/>
            <a:buChar char="•"/>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Tilbudsskema - Middelfart bybus</a:t>
          </a:r>
        </a:p>
        <a:p>
          <a:pPr marL="171450" marR="0" lvl="0" indent="-171450" defTabSz="914400" eaLnBrk="1" fontAlgn="auto" latinLnBrk="0" hangingPunct="1">
            <a:lnSpc>
              <a:spcPct val="107000"/>
            </a:lnSpc>
            <a:spcBef>
              <a:spcPts val="0"/>
            </a:spcBef>
            <a:spcAft>
              <a:spcPts val="800"/>
            </a:spcAft>
            <a:buClrTx/>
            <a:buSzTx/>
            <a:buFont typeface="Arial" panose="020B0604020202020204" pitchFamily="34" charset="0"/>
            <a:buChar char="•"/>
            <a:tabLst/>
            <a:defRPr/>
          </a:pPr>
          <a:r>
            <a:rPr kumimoji="0" lang="da-DK" sz="1100" b="0" i="0" u="none" strike="noStrike" kern="0" cap="none" spc="0" normalizeH="0" baseline="0">
              <a:ln>
                <a:noFill/>
              </a:ln>
              <a:solidFill>
                <a:sysClr val="windowText" lastClr="000000"/>
              </a:solidFill>
              <a:effectLst/>
              <a:uLnTx/>
              <a:uFillTx/>
              <a:latin typeface="+mn-lt"/>
              <a:ea typeface="+mn-ea"/>
              <a:cs typeface="+mn-cs"/>
            </a:rPr>
            <a:t>Tilbudsskema - Middelfart lokal</a:t>
          </a:r>
        </a:p>
        <a:p>
          <a:pPr marL="171450" lvl="0" indent="-171450">
            <a:buFont typeface="Arial" panose="020B0604020202020204" pitchFamily="34" charset="0"/>
            <a:buChar char="•"/>
          </a:pPr>
          <a:r>
            <a:rPr kumimoji="0" lang="da-DK" sz="1100" b="0" i="0" u="none" strike="noStrike" kern="0" cap="none" spc="0" normalizeH="0" baseline="0">
              <a:ln>
                <a:noFill/>
              </a:ln>
              <a:solidFill>
                <a:sysClr val="windowText" lastClr="000000"/>
              </a:solidFill>
              <a:effectLst/>
              <a:uLnTx/>
              <a:uFillTx/>
              <a:latin typeface="+mn-lt"/>
              <a:ea typeface="+mn-ea"/>
              <a:cs typeface="+mn-cs"/>
            </a:rPr>
            <a:t>Tilbudsskema - Regional</a:t>
          </a:r>
        </a:p>
        <a:p>
          <a:pPr marL="171450" lvl="0" indent="-171450">
            <a:buFont typeface="Arial" panose="020B0604020202020204" pitchFamily="34" charset="0"/>
            <a:buChar char="•"/>
          </a:pPr>
          <a:endParaRPr kumimoji="0" lang="da-DK" sz="1100" b="0" i="0" u="none" strike="noStrike" kern="0" cap="none" spc="0" normalizeH="0" baseline="0">
            <a:ln>
              <a:noFill/>
            </a:ln>
            <a:solidFill>
              <a:sysClr val="windowText" lastClr="000000"/>
            </a:solidFill>
            <a:effectLst/>
            <a:uLnTx/>
            <a:uFillTx/>
            <a:latin typeface="+mn-lt"/>
            <a:ea typeface="+mn-ea"/>
            <a:cs typeface="+mn-cs"/>
          </a:endParaRPr>
        </a:p>
        <a:p>
          <a:pPr lvl="0"/>
          <a:r>
            <a:rPr lang="da-DK" sz="1100" b="0" i="0" baseline="0">
              <a:solidFill>
                <a:sysClr val="windowText" lastClr="000000"/>
              </a:solidFill>
              <a:effectLst/>
              <a:latin typeface="+mn-lt"/>
              <a:ea typeface="+mn-ea"/>
              <a:cs typeface="+mn-cs"/>
            </a:rPr>
            <a:t>Beskrivelse af hvordan det udfyldes fremgår på det enkelte ark.</a:t>
          </a:r>
        </a:p>
        <a:p>
          <a:endParaRPr kumimoji="0" lang="da-DK" sz="1100" b="0" i="0" u="none" strike="noStrike" kern="0" cap="none" spc="0" normalizeH="0" baseline="0" noProof="0">
            <a:ln>
              <a:noFill/>
            </a:ln>
            <a:solidFill>
              <a:srgbClr val="FF0000"/>
            </a:solidFill>
            <a:effectLst/>
            <a:uLnTx/>
            <a:uFillTx/>
            <a:latin typeface="+mn-lt"/>
            <a:ea typeface="+mn-ea"/>
            <a:cs typeface="+mn-cs"/>
          </a:endParaRPr>
        </a:p>
        <a:p>
          <a:endParaRPr lang="da-DK" sz="10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xdr:row>
      <xdr:rowOff>1</xdr:rowOff>
    </xdr:from>
    <xdr:ext cx="15740062" cy="4345780"/>
    <xdr:sp macro="" textlink="">
      <xdr:nvSpPr>
        <xdr:cNvPr id="7" name="Tekstfelt 6">
          <a:extLst>
            <a:ext uri="{FF2B5EF4-FFF2-40B4-BE49-F238E27FC236}">
              <a16:creationId xmlns:a16="http://schemas.microsoft.com/office/drawing/2014/main" id="{F4F29BB2-57E1-496A-95E7-DFDBFF9583A4}"/>
            </a:ext>
          </a:extLst>
        </xdr:cNvPr>
        <xdr:cNvSpPr txBox="1"/>
      </xdr:nvSpPr>
      <xdr:spPr>
        <a:xfrm>
          <a:off x="0" y="416720"/>
          <a:ext cx="15740062" cy="4345780"/>
        </a:xfrm>
        <a:prstGeom prst="rect">
          <a:avLst/>
        </a:prstGeom>
        <a:noFill/>
        <a:ln>
          <a:noFill/>
        </a:ln>
        <a:effectLst/>
      </xdr:spPr>
      <xdr:txBody>
        <a:bodyPr vertOverflow="clip" horzOverflow="clip" wrap="square" rtlCol="0" anchor="t">
          <a:noAutofit/>
        </a:bodyPr>
        <a:lstStyle/>
        <a:p>
          <a:pPr marL="0" marR="0" lvl="0" indent="0" defTabSz="914400" eaLnBrk="1" fontAlgn="auto" latinLnBrk="0" hangingPunct="1">
            <a:lnSpc>
              <a:spcPct val="107000"/>
            </a:lnSpc>
            <a:spcBef>
              <a:spcPts val="0"/>
            </a:spcBef>
            <a:spcAft>
              <a:spcPts val="80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Pristilbuddet afgives i danske kroner, ekskl. moms.</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På de regionale og bybusser, skal der bydes på nulemissionsbusser. </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For lokalruter kan der vælges enten nulemissions- eller dieselbusser. Dette skal ske i celle B4, hvor der via dropdown-menu vælges drivmiddel.</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1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Der skal derudover bydes ind med en pris for dubleringskørsel, i samme indeks og drivmiddel, som der bydes ind på resterende delkontrakt.</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Såfremt der er tale om nulemissionsbusser er det i omkostningsindeks EL2023, indeks xxx,x pr. januar 2025.</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Hvis det er dieselbusser er det i omkostningsindeks xxx,x pr. januar 2025.</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Det afgivne tilbud skal indeholde alle afgifter og tillæg dog ekskl. moms. </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Det er op til tilbudsgiver at vurdere, hvor mange busser, der skal anvendes på de udbudte ruter og delkontrakter.</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Tilbudsgiver definerer selv, hvad der er faste omkostninger. Tilbudsgiver kan ikke kræve yderligere vederlag for opfyldelse af kontrakten under kontraktens løbetid, end vederlaget anført i tilbudsskemaet og hvad der i øvrigt måtte følge af kontraktens bestemmelser. Yderligere omkostninger mv., vil således ikke blive dækket af FynBus.</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For definition af bustype henvises til kravsspecifikationen. </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Tilbudsgiver skal udfylde felterne markeret med gul, også optionspriser vedr. forlængelse. </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Der er mulighed for at angive op til 3 forskellige bustyper.</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Hvis man afgiver tilbud på diesel, skal linier fra 42 ikke udfyldes. </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Herefter udregnes automatisk den samlede tilbudspris for kontraktperioden, som for nulemission er (12 år) + 2 x 2 optionsår, i alt 16 år. For diesel er det (4 år) + 6 x 2 optionsår, i alt 16 år. </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Der er nedenfor angivet køreplanstimer, dubleringstimer og et vejledende antal busser ud fra udbudskøreplanen. Dubleringstimer kan være 0.</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Summen af køreplantimer skal være lig med de udbudte køreplantimer, hvis ikke vil feltet med totalen være rødt. Hvis skemaet er udfyldt korrekt, vil feltet med summen af køreplantimer være grøn.</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000" b="0" i="0" u="none" strike="noStrike" kern="0" cap="none" spc="0" normalizeH="0" baseline="0" noProof="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0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xdr:row>
      <xdr:rowOff>0</xdr:rowOff>
    </xdr:from>
    <xdr:ext cx="13942219" cy="4560093"/>
    <xdr:sp macro="" textlink="">
      <xdr:nvSpPr>
        <xdr:cNvPr id="2" name="Tekstfelt 1">
          <a:extLst>
            <a:ext uri="{FF2B5EF4-FFF2-40B4-BE49-F238E27FC236}">
              <a16:creationId xmlns:a16="http://schemas.microsoft.com/office/drawing/2014/main" id="{CF9E4EA6-D3E2-4657-ADD9-D02774D6E36F}"/>
            </a:ext>
          </a:extLst>
        </xdr:cNvPr>
        <xdr:cNvSpPr txBox="1"/>
      </xdr:nvSpPr>
      <xdr:spPr>
        <a:xfrm>
          <a:off x="0" y="416719"/>
          <a:ext cx="13942219" cy="4560093"/>
        </a:xfrm>
        <a:prstGeom prst="rect">
          <a:avLst/>
        </a:prstGeom>
        <a:noFill/>
        <a:ln>
          <a:noFill/>
        </a:ln>
        <a:effectLst/>
      </xdr:spPr>
      <xdr:txBody>
        <a:bodyPr vertOverflow="clip" horzOverflow="clip" wrap="square" rtlCol="0" anchor="t">
          <a:noAutofit/>
        </a:bodyPr>
        <a:lstStyle/>
        <a:p>
          <a:pPr marL="0" marR="0" lvl="0" indent="0" defTabSz="914400" eaLnBrk="1" fontAlgn="auto" latinLnBrk="0" hangingPunct="1">
            <a:lnSpc>
              <a:spcPct val="107000"/>
            </a:lnSpc>
            <a:spcBef>
              <a:spcPts val="0"/>
            </a:spcBef>
            <a:spcAft>
              <a:spcPts val="80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Pristilbuddet afgives i danske kroner, ekskl. moms.</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På de regionale og bybusser, skal der bydes på nulemissionsbusser. </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For lokalruter kan der vælges enten nulemissions- eller dieselbusser. Dette skal ske i celle B4, hvor der via dropdown-menu vælges drivmiddel.</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1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Der skal derudover bydes ind med en pris for dubleringskørsel, i samme indeks og drivmiddel, som der bydes ind på resterende delkontrakt.</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Såfremt der er tale om nulemissionsbusser er det i omkostningsindeks EL2023, indeks xxx,x pr. januar 2025.</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Hvis det er dieselbusser er det i omkostningsindeks xxx,x pr. januar 2025.</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Det afgivne tilbud skal indeholde alle afgifter og tillæg dog ekskl. moms. </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Det er op til tilbudsgiver at vurdere, hvor mange busser, der skal anvendes på de udbudte ruter og delkontrakter.</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Tilbudsgiver definerer selv, hvad der er faste omkostninger. Tilbudsgiver kan ikke kræve yderligere vederlag for opfyldelse af kontrakten under kontraktens løbetid, end vederlaget anført i tilbudsskemaet og hvad der i øvrigt måtte følge af kontraktens bestemmelser. Yderligere omkostninger mv., vil således ikke blive dækket af FynBus.</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For definition af bustype henvises til kravsspecifikationen. </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Tilbudsgiver skal udfylde felterne markeret med gul, også optionspriser vedr. forlængelse. </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Der er mulighed for at angive op til 3 forskellige bustyper.</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Hvis man afgiver tilbud på diesel, skal linier fra 42 ikke udfyldes. </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Herefter udregnes automatisk den samlede tilbudspris for kontraktperioden, som for nulemission er (12 år) + 2 x 2 optionsår, i alt 16 år. For diesel er det (4 år) + 6 x 2 optionsår, i alt 16 år. </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Der er nedenfor angivet køreplanstimer, dubleringstimer og et vejledende antal busser ud fra udbudskøreplanen. Dubleringstimer kan være 0.</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Summen af køreplantimer skal være lig med de udbudte køreplantimer, hvis ikke vil feltet med totalen være rødt. Hvis skemaet er udfyldt korrekt, vil feltet med summen af køreplantimer være grøn.</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0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1</xdr:row>
      <xdr:rowOff>1</xdr:rowOff>
    </xdr:from>
    <xdr:ext cx="12649200" cy="4452384"/>
    <xdr:sp macro="" textlink="">
      <xdr:nvSpPr>
        <xdr:cNvPr id="5" name="Tekstfelt 4">
          <a:extLst>
            <a:ext uri="{FF2B5EF4-FFF2-40B4-BE49-F238E27FC236}">
              <a16:creationId xmlns:a16="http://schemas.microsoft.com/office/drawing/2014/main" id="{B28A7A57-2C3B-4AFF-AEA1-3255DD19DD4E}"/>
            </a:ext>
          </a:extLst>
        </xdr:cNvPr>
        <xdr:cNvSpPr txBox="1"/>
      </xdr:nvSpPr>
      <xdr:spPr>
        <a:xfrm>
          <a:off x="0" y="420873"/>
          <a:ext cx="12649200" cy="4452384"/>
        </a:xfrm>
        <a:prstGeom prst="rect">
          <a:avLst/>
        </a:prstGeom>
        <a:noFill/>
        <a:ln>
          <a:noFill/>
        </a:ln>
        <a:effectLst/>
      </xdr:spPr>
      <xdr:txBody>
        <a:bodyPr vertOverflow="clip" horzOverflow="clip" wrap="square" rtlCol="0" anchor="t">
          <a:noAutofit/>
        </a:bodyPr>
        <a:lstStyle/>
        <a:p>
          <a:pPr marL="0" marR="0" lvl="0" indent="0" defTabSz="914400" eaLnBrk="1" fontAlgn="auto" latinLnBrk="0" hangingPunct="1">
            <a:lnSpc>
              <a:spcPct val="107000"/>
            </a:lnSpc>
            <a:spcBef>
              <a:spcPts val="0"/>
            </a:spcBef>
            <a:spcAft>
              <a:spcPts val="80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Pristilbuddet afgives i danske kroner, ekskl. moms.</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På de regionale og bybusser, skal der bydes på nulemissionsbusser. </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For lokalruter kan der vælges enten nulemissions- eller dieselbusser. Dette skal ske i celle B4, hvor der via dropdown-menu vælges drivmiddel.</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1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Der skal derudover bydes ind med en pris for dubleringskørsel, i samme indeks og drivmiddel, som der bydes ind på resterende delkontrakt.</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Såfremt der er tale om nulemissionsbusser er det i omkostningsindeks EL2023, indeks xxx,x pr. januar 2025.</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Hvis det er dieselbusser er det i omkostningsindeks xxx,x pr. januar 2025.</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Det afgivne tilbud skal indeholde alle afgifter og tillæg dog ekskl. moms. </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Det er op til tilbudsgiver at vurdere, hvor mange busser, der skal anvendes på de udbudte ruter og delkontrakter.</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Tilbudsgiver definerer selv, hvad der er faste omkostninger. Tilbudsgiver kan ikke kræve yderligere vederlag for opfyldelse af kontrakten under kontraktens løbetid, end vederlaget anført i tilbudsskemaet og hvad der i øvrigt måtte følge af kontraktens bestemmelser. Yderligere omkostninger mv., vil således ikke blive dækket af FynBus.</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For definition af bustype henvises til kravsspecifikationen. </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Tilbudsgiver skal udfylde felterne markeret med gul, også optionspriser vedr. forlængelse. </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Der er mulighed for at angive op til 3 forskellige bustyper.</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Hvis man afgiver tilbud på diesel, skal linier fra 42 ikke udfyldes. </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Herefter udregnes automatisk den samlede tilbudspris for kontraktperioden, som for nulemission er (12 år) + 2 x 2 optionsår, i alt 16 år. For diesel er det (4 år) + 6 x 2 optionsår, i alt 16 år. </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Der er nedenfor angivet køreplanstimer, dubleringstimer og et vejledende antal busser ud fra udbudskøreplanen. Dubleringstimer kan være 0.</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Summen af køreplantimer skal være lig med de udbudte køreplantimer, hvis ikke vil feltet med totalen være rødt. Hvis skemaet er udfyldt korrekt, vil feltet med summen af køreplantimer være grøn.</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0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1</xdr:row>
      <xdr:rowOff>0</xdr:rowOff>
    </xdr:from>
    <xdr:ext cx="11639551" cy="4276725"/>
    <xdr:sp macro="" textlink="">
      <xdr:nvSpPr>
        <xdr:cNvPr id="3" name="Tekstfelt 2">
          <a:extLst>
            <a:ext uri="{FF2B5EF4-FFF2-40B4-BE49-F238E27FC236}">
              <a16:creationId xmlns:a16="http://schemas.microsoft.com/office/drawing/2014/main" id="{4C20B7CD-3E5B-417B-89A8-B1BBD1BBF9D8}"/>
            </a:ext>
          </a:extLst>
        </xdr:cNvPr>
        <xdr:cNvSpPr txBox="1"/>
      </xdr:nvSpPr>
      <xdr:spPr>
        <a:xfrm>
          <a:off x="0" y="423333"/>
          <a:ext cx="11639551" cy="4276725"/>
        </a:xfrm>
        <a:prstGeom prst="rect">
          <a:avLst/>
        </a:prstGeom>
        <a:noFill/>
        <a:ln>
          <a:noFill/>
        </a:ln>
        <a:effectLst/>
      </xdr:spPr>
      <xdr:txBody>
        <a:bodyPr vertOverflow="clip" horzOverflow="clip" wrap="square" rtlCol="0" anchor="t">
          <a:noAutofit/>
        </a:bodyPr>
        <a:lstStyle/>
        <a:p>
          <a:pPr marL="0" marR="0" lvl="0" indent="0" defTabSz="914400" eaLnBrk="1" fontAlgn="auto" latinLnBrk="0" hangingPunct="1">
            <a:lnSpc>
              <a:spcPct val="107000"/>
            </a:lnSpc>
            <a:spcBef>
              <a:spcPts val="0"/>
            </a:spcBef>
            <a:spcAft>
              <a:spcPts val="80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Pristilbuddet afgives i danske kroner, ekskl. moms.</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På de regionale og bybusser, skal der bydes på nulemissionsbusser. </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For lokalruter kan der vælges enten nulemissions- eller dieselbusser. Dette skal ske i celle B4, hvor der via dropdown-menu vælges drivmiddel.</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1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Der skal derudover bydes ind med en pris for dubleringskørsel, i samme indeks og drivmiddel, som der bydes ind på resterende delkontrakt.</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Såfremt der er tale om nulemissionsbusser er det i omkostningsindeks EL2023, indeks xxx,x pr. januar 2025.</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Hvis det er dieselbusser er det i omkostningsindeks xxx,x pr. januar 2025.</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Det afgivne tilbud skal indeholde alle afgifter og tillæg dog ekskl. moms. </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Det er op til tilbudsgiver at vurdere, hvor mange busser, der skal anvendes på de udbudte ruter og delkontrakter.</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Tilbudsgiver definerer selv, hvad der er faste omkostninger. Tilbudsgiver kan ikke kræve yderligere vederlag for opfyldelse af kontrakten under kontraktens løbetid, end vederlaget anført i tilbudsskemaet og hvad der i øvrigt måtte følge af kontraktens bestemmelser. Yderligere omkostninger mv., vil således ikke blive dækket af FynBus.</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For definition af bustype henvises til kravsspecifikationen. </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Tilbudsgiver skal udfylde felterne markeret med gul, også optionspriser vedr. forlængelse. </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Der er mulighed for at angive op til 3 forskellige bustyper.</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Hvis man afgiver tilbud på diesel, skal linier fra 42 ikke udfyldes. </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Herefter udregnes automatisk den samlede tilbudspris for kontraktperioden, som for nulemission er (12 år) + 2 x 2 optionsår, i alt 16 år. For diesel er det (4 år) + 6 x 2 optionsår, i alt 16 år. </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Der er nedenfor angivet køreplanstimer, dubleringstimer og et vejledende antal busser ud fra udbudskøreplanen. Dubleringstimer kan være 0.</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Summen af køreplantimer skal være lig med de udbudte køreplantimer, hvis ikke vil feltet med totalen være rødt. Hvis skemaet er udfyldt korrekt, vil feltet med summen af køreplantimer være grøn.</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000" b="0" i="0" u="none" strike="noStrike" kern="0" cap="none" spc="0" normalizeH="0" baseline="0" noProof="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0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1</xdr:row>
      <xdr:rowOff>0</xdr:rowOff>
    </xdr:from>
    <xdr:ext cx="11639551" cy="4276725"/>
    <xdr:sp macro="" textlink="">
      <xdr:nvSpPr>
        <xdr:cNvPr id="4" name="Tekstfelt 3">
          <a:extLst>
            <a:ext uri="{FF2B5EF4-FFF2-40B4-BE49-F238E27FC236}">
              <a16:creationId xmlns:a16="http://schemas.microsoft.com/office/drawing/2014/main" id="{743982DD-4B9A-4D9F-943B-6549D7C7EC8C}"/>
            </a:ext>
          </a:extLst>
        </xdr:cNvPr>
        <xdr:cNvSpPr txBox="1"/>
      </xdr:nvSpPr>
      <xdr:spPr>
        <a:xfrm>
          <a:off x="0" y="423333"/>
          <a:ext cx="11639551" cy="4276725"/>
        </a:xfrm>
        <a:prstGeom prst="rect">
          <a:avLst/>
        </a:prstGeom>
        <a:noFill/>
        <a:ln>
          <a:noFill/>
        </a:ln>
        <a:effectLst/>
      </xdr:spPr>
      <xdr:txBody>
        <a:bodyPr vertOverflow="clip" horzOverflow="clip" wrap="square" rtlCol="0" anchor="t">
          <a:noAutofit/>
        </a:bodyPr>
        <a:lstStyle/>
        <a:p>
          <a:pPr marL="0" marR="0" lvl="0" indent="0" defTabSz="914400" eaLnBrk="1" fontAlgn="auto" latinLnBrk="0" hangingPunct="1">
            <a:lnSpc>
              <a:spcPct val="107000"/>
            </a:lnSpc>
            <a:spcBef>
              <a:spcPts val="0"/>
            </a:spcBef>
            <a:spcAft>
              <a:spcPts val="80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Pristilbuddet afgives i danske kroner, ekskl. moms.</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På de regionale og bybusser, skal der bydes på nulemissionsbusser. </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For lokalruter kan der vælges enten nulemissions- eller dieselbusser. Dette skal ske i celle B4, hvor der via dropdown-menu vælges drivmiddel.</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1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Der skal derudover bydes ind med en pris for dubleringskørsel, i samme indeks og drivmiddel, som der bydes ind på resterende delkontrakt.</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Såfremt der er tale om nulemissionsbusser er det i omkostningsindeks EL2023, indeks xxx,x pr. januar 2025.</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Hvis det er dieselbusser er det i omkostningsindeks xxx,x pr. januar 2025.</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Det afgivne tilbud skal indeholde alle afgifter og tillæg dog ekskl. moms. </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Det er op til tilbudsgiver at vurdere, hvor mange busser, der skal anvendes på de udbudte ruter og delkontrakter.</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Tilbudsgiver definerer selv, hvad der er faste omkostninger. Tilbudsgiver kan ikke kræve yderligere vederlag for opfyldelse af kontrakten under kontraktens løbetid, end vederlaget anført i tilbudsskemaet og hvad der i øvrigt måtte følge af kontraktens bestemmelser. Yderligere omkostninger mv., vil således ikke blive dækket af FynBus.</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For definition af bustype henvises til kravsspecifikationen. </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Tilbudsgiver skal udfylde felterne markeret med gul, også optionspriser vedr. forlængelse. </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Der er mulighed for at angive op til 3 forskellige bustyper.</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Hvis man afgiver tilbud på diesel, skal linier fra 42 ikke udfyldes. </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Herefter udregnes automatisk den samlede tilbudspris for kontraktperioden, som for nulemission er (12 år) + 2 x 2 optionsår, i alt 16 år. For diesel er det (4 år) + 6 x 2 optionsår, i alt 16 år. </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Der er nedenfor angivet køreplanstimer, dubleringstimer og et vejledende antal busser ud fra udbudskøreplanen. Dubleringstimer kan være 0.</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Summen af køreplantimer skal være lig med de udbudte køreplantimer, hvis ikke vil feltet med totalen være rødt. Hvis skemaet er udfyldt korrekt, vil feltet med summen af køreplantimer være grøn.</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000" b="0" i="0" u="none" strike="noStrike" kern="0" cap="none" spc="0" normalizeH="0" baseline="0" noProof="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0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1</xdr:row>
      <xdr:rowOff>0</xdr:rowOff>
    </xdr:from>
    <xdr:ext cx="15192375" cy="4229100"/>
    <xdr:sp macro="" textlink="">
      <xdr:nvSpPr>
        <xdr:cNvPr id="2" name="Tekstfelt 1">
          <a:extLst>
            <a:ext uri="{FF2B5EF4-FFF2-40B4-BE49-F238E27FC236}">
              <a16:creationId xmlns:a16="http://schemas.microsoft.com/office/drawing/2014/main" id="{FD902FBE-8626-4635-B3ED-3E38B3AA343F}"/>
            </a:ext>
          </a:extLst>
        </xdr:cNvPr>
        <xdr:cNvSpPr txBox="1"/>
      </xdr:nvSpPr>
      <xdr:spPr>
        <a:xfrm>
          <a:off x="0" y="419100"/>
          <a:ext cx="15192375" cy="4229100"/>
        </a:xfrm>
        <a:prstGeom prst="rect">
          <a:avLst/>
        </a:prstGeom>
        <a:noFill/>
        <a:ln>
          <a:noFill/>
        </a:ln>
        <a:effectLst/>
      </xdr:spPr>
      <xdr:txBody>
        <a:bodyPr vertOverflow="clip" horzOverflow="clip" wrap="square" rtlCol="0" anchor="t">
          <a:noAutofit/>
        </a:bodyPr>
        <a:lstStyle/>
        <a:p>
          <a:pPr marL="0" marR="0" lvl="0" indent="0" defTabSz="914400" eaLnBrk="1" fontAlgn="auto" latinLnBrk="0" hangingPunct="1">
            <a:lnSpc>
              <a:spcPct val="107000"/>
            </a:lnSpc>
            <a:spcBef>
              <a:spcPts val="0"/>
            </a:spcBef>
            <a:spcAft>
              <a:spcPts val="80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Pristilbuddet afgives i danske kroner, ekskl. moms.</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På de regionale og bybusser, skal der bydes på nulemissionsbusser. </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For lokalruter kan der vælges enten nulemissions- eller dieselbusser. Dette skal ske i celle B4, hvor der via dropdown-menu vælges drivmiddel.</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1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Der skal derudover bydes ind med en pris for dubleringskørsel, i samme indeks og drivmiddel, som der bydes ind på resterende delkontrakt.</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Såfremt der er tale om nulemissionsbusser er det i omkostningsindeks EL2023, indeks xxx,x pr. januar 2025.</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Hvis det er dieselbusser er det i omkostningsindeks xxx,x pr. januar 2025.</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Det afgivne tilbud skal indeholde alle afgifter og tillæg dog ekskl. moms. </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Det er op til tilbudsgiver at vurdere, hvor mange busser, der skal anvendes på de udbudte ruter og delkontrakter.</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Tilbudsgiver definerer selv, hvad der er faste omkostninger. Tilbudsgiver kan ikke kræve yderligere vederlag for opfyldelse af kontrakten under kontraktens løbetid, end vederlaget anført i tilbudsskemaet og hvad der i øvrigt måtte følge af kontraktens bestemmelser. Yderligere omkostninger mv., vil således ikke blive dækket af FynBus.</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For definition af bustype henvises til kravsspecifikationen. </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Tilbudsgiver skal udfylde felterne markeret med gul, også optionspriser vedr. forlængelse. </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Der er mulighed for at angive op til 3 forskellige bustyper.</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Hvis man afgiver tilbud på diesel, skal linier fra 42 ikke udfyldes. </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Herefter udregnes automatisk den samlede tilbudspris for kontraktperioden, som for nulemission er (12 år) + 2 x 2 optionsår, i alt 16 år. For diesel er det (4 år) + 6 x 2 optionsår, i alt 16 år. </a:t>
          </a: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Der er nedenfor angivet køreplanstimer, dubleringstimer og et vejledende antal busser ud fra udbudskøreplanen. Dubleringstimer kan være 0.</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a-DK" sz="1100" b="0" i="0" u="none" strike="noStrike" kern="0" cap="none" spc="0" normalizeH="0" baseline="0" noProof="0">
              <a:ln>
                <a:noFill/>
              </a:ln>
              <a:solidFill>
                <a:sysClr val="windowText" lastClr="000000"/>
              </a:solidFill>
              <a:effectLst/>
              <a:uLnTx/>
              <a:uFillTx/>
              <a:latin typeface="+mn-lt"/>
              <a:ea typeface="+mn-ea"/>
              <a:cs typeface="+mn-cs"/>
            </a:rPr>
            <a:t>Summen af køreplantimer skal være lig med de udbudte køreplantimer, hvis ikke vil feltet med totalen være rødt. Hvis skemaet er udfyldt korrekt, vil feltet med summen af køreplantimer være grøn.</a:t>
          </a:r>
        </a:p>
        <a:p>
          <a:endParaRPr lang="da-DK" sz="1100">
            <a:effectLst/>
            <a:latin typeface="+mn-lt"/>
            <a:ea typeface="+mn-ea"/>
            <a:cs typeface="+mn-cs"/>
          </a:endParaRPr>
        </a:p>
        <a:p>
          <a:r>
            <a:rPr lang="da-DK" sz="1100">
              <a:effectLst/>
              <a:latin typeface="+mn-lt"/>
              <a:ea typeface="+mn-ea"/>
              <a:cs typeface="+mn-cs"/>
            </a:rPr>
            <a:t>Ved vurdering af tilbudsprisen udregnes den samlede pris for henholdsvis nulemission og diesel for en samlet kontraktperiode på 16 år.</a:t>
          </a: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000" b="0" i="0" u="none" strike="noStrike" kern="0" cap="none" spc="0" normalizeH="0" baseline="0" noProof="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a-DK" sz="10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E19EF-8840-4C0D-9459-F2542A39CB73}">
  <dimension ref="A1:M18"/>
  <sheetViews>
    <sheetView tabSelected="1" zoomScaleNormal="100" zoomScaleSheetLayoutView="100" workbookViewId="0">
      <selection activeCell="L9" sqref="L9"/>
    </sheetView>
  </sheetViews>
  <sheetFormatPr defaultRowHeight="15" x14ac:dyDescent="0.25"/>
  <cols>
    <col min="1" max="1" width="19" customWidth="1"/>
    <col min="2" max="2" width="16.28515625" customWidth="1"/>
    <col min="3" max="4" width="19" customWidth="1"/>
    <col min="5" max="5" width="16.42578125" customWidth="1"/>
    <col min="6" max="6" width="21.140625" customWidth="1"/>
    <col min="7" max="7" width="13" customWidth="1"/>
    <col min="8" max="8" width="22.7109375" customWidth="1"/>
    <col min="9" max="9" width="26.7109375" customWidth="1"/>
    <col min="11" max="11" width="16.28515625" customWidth="1"/>
    <col min="12" max="12" width="21.140625" customWidth="1"/>
    <col min="13" max="14" width="17.28515625" customWidth="1"/>
    <col min="15" max="15" width="16.28515625" customWidth="1"/>
    <col min="16" max="16" width="21.85546875" customWidth="1"/>
    <col min="18" max="18" width="20.42578125" customWidth="1"/>
  </cols>
  <sheetData>
    <row r="1" spans="1:13" ht="33" customHeight="1" x14ac:dyDescent="0.25">
      <c r="A1" s="11" t="s">
        <v>39</v>
      </c>
      <c r="B1" s="11"/>
      <c r="C1" s="11"/>
      <c r="D1" s="11"/>
    </row>
    <row r="2" spans="1:13" ht="171.75" customHeight="1" x14ac:dyDescent="0.25">
      <c r="A2" s="12"/>
      <c r="B2" s="12"/>
      <c r="C2" s="12"/>
      <c r="D2" s="12"/>
    </row>
    <row r="3" spans="1:13" ht="60.75" customHeight="1" x14ac:dyDescent="0.25">
      <c r="A3" s="12"/>
      <c r="B3" s="12"/>
      <c r="C3" s="12"/>
      <c r="D3" s="12"/>
    </row>
    <row r="4" spans="1:13" ht="16.5" customHeight="1" x14ac:dyDescent="0.25">
      <c r="A4" s="12"/>
      <c r="B4" s="12"/>
      <c r="C4" s="12"/>
      <c r="D4" s="12"/>
    </row>
    <row r="5" spans="1:13" ht="19.5" customHeight="1" x14ac:dyDescent="0.25">
      <c r="A5" s="12"/>
      <c r="B5" s="12"/>
      <c r="C5" s="12"/>
      <c r="D5" s="12"/>
    </row>
    <row r="6" spans="1:13" x14ac:dyDescent="0.25">
      <c r="A6" s="131" t="s">
        <v>49</v>
      </c>
      <c r="B6" s="132"/>
      <c r="C6" s="132"/>
      <c r="D6" s="132"/>
      <c r="E6" s="132"/>
      <c r="F6" s="132"/>
      <c r="G6" s="132"/>
      <c r="H6" s="132"/>
      <c r="I6" s="133"/>
      <c r="J6" s="108"/>
      <c r="K6" s="108"/>
      <c r="L6" s="108"/>
      <c r="M6" s="130"/>
    </row>
    <row r="7" spans="1:13" ht="15.75" thickBot="1" x14ac:dyDescent="0.3"/>
    <row r="8" spans="1:13" ht="60" x14ac:dyDescent="0.25">
      <c r="A8" s="111" t="s">
        <v>43</v>
      </c>
      <c r="B8" s="111" t="s">
        <v>43</v>
      </c>
      <c r="C8" s="112" t="s">
        <v>10</v>
      </c>
      <c r="D8" s="112" t="s">
        <v>27</v>
      </c>
      <c r="E8" s="112" t="s">
        <v>44</v>
      </c>
      <c r="F8" s="112" t="s">
        <v>30</v>
      </c>
      <c r="G8" s="112" t="s">
        <v>29</v>
      </c>
      <c r="H8" s="113"/>
      <c r="I8" s="114" t="s">
        <v>48</v>
      </c>
    </row>
    <row r="9" spans="1:13" x14ac:dyDescent="0.25">
      <c r="A9" s="115">
        <v>1</v>
      </c>
      <c r="B9" s="115" t="s">
        <v>23</v>
      </c>
      <c r="C9" s="53" t="str">
        <f>'Tilbudsskema - Assens lokal'!$B$4</f>
        <v>Diesel</v>
      </c>
      <c r="D9" s="116">
        <f>SUM('Tilbudsskema - Assens lokal'!$D$15:$D$17)</f>
        <v>0</v>
      </c>
      <c r="E9" s="116">
        <f>'Tilbudsskema - Assens lokal'!M$58</f>
        <v>0</v>
      </c>
      <c r="F9" s="116">
        <f>'Tilbudsskema - Assens lokal'!N$58</f>
        <v>0</v>
      </c>
      <c r="G9" s="116">
        <f>'Tilbudsskema - Assens lokal'!O$58</f>
        <v>0</v>
      </c>
      <c r="H9" s="117"/>
      <c r="I9" s="118">
        <f>(E9*0.9)+F9</f>
        <v>0</v>
      </c>
    </row>
    <row r="10" spans="1:13" x14ac:dyDescent="0.25">
      <c r="A10" s="115">
        <v>2</v>
      </c>
      <c r="B10" s="115" t="s">
        <v>25</v>
      </c>
      <c r="C10" s="53" t="str">
        <f>'Tilbudsskema - Kerteminde lokal'!$B$4</f>
        <v>Diesel</v>
      </c>
      <c r="D10" s="116">
        <f>SUM('Tilbudsskema - Kerteminde lokal'!$D$15:$D$17)</f>
        <v>0</v>
      </c>
      <c r="E10" s="116">
        <f>'Tilbudsskema - Kerteminde lokal'!M$58</f>
        <v>0</v>
      </c>
      <c r="F10" s="116">
        <f>'Tilbudsskema - Kerteminde lokal'!N$58</f>
        <v>0</v>
      </c>
      <c r="G10" s="116">
        <f>'Tilbudsskema - Kerteminde lokal'!O$58</f>
        <v>0</v>
      </c>
      <c r="H10" s="117"/>
      <c r="I10" s="118">
        <f>(E10*0.9)+F10</f>
        <v>0</v>
      </c>
    </row>
    <row r="11" spans="1:13" x14ac:dyDescent="0.25">
      <c r="A11" s="115">
        <v>3</v>
      </c>
      <c r="B11" s="115" t="s">
        <v>24</v>
      </c>
      <c r="C11" s="53" t="str">
        <f>'Tilbudsskema - Nordfyns lokal'!$B$4</f>
        <v>Diesel</v>
      </c>
      <c r="D11" s="116">
        <f>SUM('Tilbudsskema - Nordfyns lokal'!$D$15:$D$17)</f>
        <v>0</v>
      </c>
      <c r="E11" s="116">
        <f>'Tilbudsskema - Nordfyns lokal'!M$58</f>
        <v>0</v>
      </c>
      <c r="F11" s="116">
        <f>'Tilbudsskema - Nordfyns lokal'!N$58</f>
        <v>0</v>
      </c>
      <c r="G11" s="116">
        <f>'Tilbudsskema - Nordfyns lokal'!O$58</f>
        <v>0</v>
      </c>
      <c r="H11" s="117"/>
      <c r="I11" s="118">
        <f>(E11*0.9)+F11</f>
        <v>0</v>
      </c>
    </row>
    <row r="12" spans="1:13" x14ac:dyDescent="0.25">
      <c r="A12" s="115">
        <v>4</v>
      </c>
      <c r="B12" s="115" t="s">
        <v>22</v>
      </c>
      <c r="C12" s="53" t="str">
        <f>'Tilbudsskema - Middelfart bybus'!$B$4</f>
        <v>Nulemission</v>
      </c>
      <c r="D12" s="116">
        <f>SUM('Tilbudsskema - Middelfart bybus'!$D$15:$D$17)</f>
        <v>0</v>
      </c>
      <c r="E12" s="116">
        <f>'Tilbudsskema - Middelfart bybus'!M$58</f>
        <v>0</v>
      </c>
      <c r="F12" s="116">
        <f>'Tilbudsskema - Middelfart bybus'!N$58</f>
        <v>0</v>
      </c>
      <c r="G12" s="116">
        <f>'Tilbudsskema - Middelfart bybus'!O$58</f>
        <v>0</v>
      </c>
      <c r="H12" s="117"/>
      <c r="I12" s="118">
        <f>G12</f>
        <v>0</v>
      </c>
    </row>
    <row r="13" spans="1:13" x14ac:dyDescent="0.25">
      <c r="A13" s="115">
        <v>5</v>
      </c>
      <c r="B13" s="115" t="s">
        <v>21</v>
      </c>
      <c r="C13" s="53" t="str">
        <f>'Tilbudsskema - Middelfart lokal'!$B$4</f>
        <v>Diesel</v>
      </c>
      <c r="D13" s="116">
        <f>SUM('Tilbudsskema - Middelfart lokal'!$D$15:$D$17)</f>
        <v>0</v>
      </c>
      <c r="E13" s="116">
        <f>'Tilbudsskema - Middelfart lokal'!M$58</f>
        <v>0</v>
      </c>
      <c r="F13" s="116">
        <f>'Tilbudsskema - Middelfart lokal'!N$58</f>
        <v>0</v>
      </c>
      <c r="G13" s="116">
        <f>'Tilbudsskema - Middelfart lokal'!O$58</f>
        <v>0</v>
      </c>
      <c r="H13" s="117"/>
      <c r="I13" s="118">
        <f>(E13*0.9)+F13</f>
        <v>0</v>
      </c>
    </row>
    <row r="14" spans="1:13" x14ac:dyDescent="0.25">
      <c r="A14" s="115">
        <v>11</v>
      </c>
      <c r="B14" s="115" t="s">
        <v>12</v>
      </c>
      <c r="C14" s="53" t="str">
        <f>'Tilbudsskema - Regional'!$B$4</f>
        <v>Nulemission</v>
      </c>
      <c r="D14" s="116">
        <f>SUM('Tilbudsskema - Regional'!$D$15:$D$17)</f>
        <v>0</v>
      </c>
      <c r="E14" s="116">
        <f>'Tilbudsskema - Regional'!M$58</f>
        <v>0</v>
      </c>
      <c r="F14" s="116">
        <f>'Tilbudsskema - Regional'!N$58</f>
        <v>0</v>
      </c>
      <c r="G14" s="116">
        <f>'Tilbudsskema - Regional'!O$58</f>
        <v>0</v>
      </c>
      <c r="H14" s="117"/>
      <c r="I14" s="118">
        <f>G14</f>
        <v>0</v>
      </c>
    </row>
    <row r="15" spans="1:13" x14ac:dyDescent="0.25">
      <c r="A15" s="115"/>
      <c r="B15" s="115"/>
      <c r="C15" s="53"/>
      <c r="D15" s="116"/>
      <c r="E15" s="116"/>
      <c r="F15" s="116"/>
      <c r="G15" s="116"/>
      <c r="H15" s="119"/>
      <c r="I15" s="118"/>
    </row>
    <row r="16" spans="1:13" ht="15.75" thickBot="1" x14ac:dyDescent="0.3">
      <c r="A16" s="120"/>
      <c r="B16" s="120" t="s">
        <v>26</v>
      </c>
      <c r="C16" s="121"/>
      <c r="D16" s="122">
        <f>SUM(D9:D15)</f>
        <v>0</v>
      </c>
      <c r="E16" s="123">
        <f>SUM(E9:E15)</f>
        <v>0</v>
      </c>
      <c r="F16" s="123">
        <f t="shared" ref="F16:I16" si="0">SUM(F9:F15)</f>
        <v>0</v>
      </c>
      <c r="G16" s="123">
        <f t="shared" si="0"/>
        <v>0</v>
      </c>
      <c r="H16" s="124"/>
      <c r="I16" s="125">
        <f t="shared" si="0"/>
        <v>0</v>
      </c>
    </row>
    <row r="18" spans="4:4" x14ac:dyDescent="0.25">
      <c r="D18" s="126"/>
    </row>
  </sheetData>
  <sheetProtection algorithmName="SHA-512" hashValue="MDlvQgyO+RaGxN7BqyptO+e3uOq/ZvrZAt5KB7qbMbxwWbnEuUKDY7jhj4YPRQPWtitUL+CQ8K6hAgaMgnQxaA==" saltValue="Cp3+uAPyxQ0AVX83GN+p8A==" spinCount="100000" sheet="1" objects="1" scenarios="1"/>
  <pageMargins left="0.23622047244094491" right="0.23622047244094491" top="0.94488188976377963" bottom="0.74803149606299213" header="0.31496062992125984" footer="0.31496062992125984"/>
  <pageSetup paperSize="9" scale="38" orientation="portrait" r:id="rId1"/>
  <headerFooter>
    <oddHeader xml:space="preserve">&amp;L&amp;10FynBus, 9. februar 2024 
Udbud af emissionsfri buskørsel i Svendborg By
J.nr. 202311-40216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EBCDD-42C3-49DB-920E-88498B4B49AB}">
  <dimension ref="A1:O66"/>
  <sheetViews>
    <sheetView zoomScale="70" zoomScaleNormal="70" zoomScaleSheetLayoutView="100" workbookViewId="0">
      <selection activeCell="B4" sqref="B4"/>
    </sheetView>
  </sheetViews>
  <sheetFormatPr defaultRowHeight="15" x14ac:dyDescent="0.25"/>
  <cols>
    <col min="1" max="1" width="33.85546875" customWidth="1"/>
    <col min="2" max="2" width="18.42578125" customWidth="1"/>
    <col min="3" max="4" width="19" customWidth="1"/>
    <col min="5" max="5" width="14.28515625" customWidth="1"/>
    <col min="6" max="6" width="21.140625" customWidth="1"/>
    <col min="7" max="7" width="11.7109375" customWidth="1"/>
    <col min="8" max="8" width="10.5703125" customWidth="1"/>
    <col min="9" max="9" width="14.5703125" customWidth="1"/>
    <col min="11" max="11" width="19.5703125" customWidth="1"/>
    <col min="12" max="12" width="11.7109375" customWidth="1"/>
    <col min="13" max="13" width="20.85546875" customWidth="1"/>
    <col min="14" max="14" width="17.28515625" customWidth="1"/>
    <col min="15" max="15" width="24.5703125" customWidth="1"/>
    <col min="16" max="16" width="21.85546875" customWidth="1"/>
    <col min="18" max="18" width="20.42578125" customWidth="1"/>
  </cols>
  <sheetData>
    <row r="1" spans="1:15" ht="33" customHeight="1" x14ac:dyDescent="0.25">
      <c r="A1" s="11" t="str">
        <f>_xlfn.CONCAT("Tilbudsskema - Fælles udbud - pakke 1 - Delkontrakt 1 - ", A14)</f>
        <v>Tilbudsskema - Fælles udbud - pakke 1 - Delkontrakt 1 - Assens lokal</v>
      </c>
      <c r="B1" s="11"/>
      <c r="C1" s="11"/>
      <c r="D1" s="11"/>
    </row>
    <row r="2" spans="1:15" ht="141.75" customHeight="1" x14ac:dyDescent="0.25">
      <c r="A2" s="12"/>
      <c r="B2" s="12"/>
      <c r="C2" s="12"/>
      <c r="D2" s="12"/>
    </row>
    <row r="3" spans="1:15" ht="207" customHeight="1" x14ac:dyDescent="0.25">
      <c r="A3" s="12"/>
      <c r="B3" s="12"/>
      <c r="C3" s="12"/>
      <c r="D3" s="12"/>
    </row>
    <row r="4" spans="1:15" ht="16.5" customHeight="1" x14ac:dyDescent="0.25">
      <c r="A4" s="13" t="s">
        <v>10</v>
      </c>
      <c r="B4" s="127" t="s">
        <v>11</v>
      </c>
      <c r="C4" s="12"/>
      <c r="D4" s="12"/>
    </row>
    <row r="5" spans="1:15" ht="19.5" customHeight="1" x14ac:dyDescent="0.25">
      <c r="A5" s="12"/>
      <c r="B5" s="12"/>
      <c r="C5" s="12"/>
      <c r="D5" s="12"/>
    </row>
    <row r="6" spans="1:15" ht="19.5" customHeight="1" x14ac:dyDescent="0.25">
      <c r="A6" s="12" t="s">
        <v>32</v>
      </c>
      <c r="B6" s="12"/>
      <c r="C6" s="12"/>
      <c r="D6" s="12"/>
    </row>
    <row r="7" spans="1:15" ht="19.5" customHeight="1" x14ac:dyDescent="0.25">
      <c r="A7" s="12" t="s">
        <v>33</v>
      </c>
      <c r="B7" s="12">
        <v>12</v>
      </c>
      <c r="C7" s="12"/>
      <c r="D7" s="12"/>
    </row>
    <row r="8" spans="1:15" ht="19.5" customHeight="1" x14ac:dyDescent="0.25">
      <c r="A8" s="12" t="s">
        <v>34</v>
      </c>
      <c r="B8" s="14">
        <v>12879</v>
      </c>
      <c r="C8" s="12"/>
      <c r="D8" s="12"/>
    </row>
    <row r="9" spans="1:15" ht="19.5" customHeight="1" x14ac:dyDescent="0.25">
      <c r="A9" s="12" t="s">
        <v>36</v>
      </c>
      <c r="B9" s="14">
        <v>0</v>
      </c>
      <c r="C9" s="12"/>
      <c r="D9" s="12"/>
    </row>
    <row r="10" spans="1:15" ht="19.5" customHeight="1" thickBot="1" x14ac:dyDescent="0.3">
      <c r="A10" s="12"/>
      <c r="B10" s="12"/>
      <c r="C10" s="12"/>
      <c r="D10" s="12"/>
    </row>
    <row r="11" spans="1:15" ht="15.75" thickBot="1" x14ac:dyDescent="0.3">
      <c r="A11" s="15" t="str">
        <f>IF($B$4 = 'Ark2'!$A$3, "Ordinær kontraktperiode (Januar 2027-Januar 2039) - 12 år - Nulemission", "Ordinær kontraktperiode (Januar 2027-Januar 2031) - 4 år - Diesel")</f>
        <v>Ordinær kontraktperiode (Januar 2027-Januar 2031) - 4 år - Diesel</v>
      </c>
      <c r="B11" s="16"/>
      <c r="C11" s="16"/>
      <c r="D11" s="16"/>
      <c r="E11" s="16"/>
      <c r="F11" s="16"/>
      <c r="G11" s="16"/>
      <c r="H11" s="16"/>
      <c r="I11" s="16"/>
      <c r="J11" s="16"/>
      <c r="K11" s="16"/>
      <c r="L11" s="16"/>
      <c r="M11" s="17"/>
      <c r="N11" s="18"/>
      <c r="O11" s="19"/>
    </row>
    <row r="12" spans="1:15" ht="20.25" customHeight="1" x14ac:dyDescent="0.3">
      <c r="A12" s="20"/>
      <c r="B12" s="21"/>
      <c r="C12" s="22"/>
      <c r="D12" s="140" t="s">
        <v>0</v>
      </c>
      <c r="E12" s="140"/>
      <c r="F12" s="141"/>
      <c r="G12" s="21"/>
      <c r="H12" s="142" t="s">
        <v>4</v>
      </c>
      <c r="I12" s="140"/>
      <c r="J12" s="140"/>
      <c r="K12" s="141"/>
      <c r="L12" s="23"/>
      <c r="M12" s="134" t="s">
        <v>15</v>
      </c>
      <c r="N12" s="135"/>
      <c r="O12" s="136"/>
    </row>
    <row r="13" spans="1:15" ht="16.5" thickBot="1" x14ac:dyDescent="0.35">
      <c r="A13" s="21"/>
      <c r="B13" s="21"/>
      <c r="C13" s="27"/>
      <c r="D13" s="21"/>
      <c r="E13" s="28"/>
      <c r="F13" s="29"/>
      <c r="G13" s="21"/>
      <c r="H13" s="30"/>
      <c r="I13" s="23"/>
      <c r="J13" s="23"/>
      <c r="K13" s="31"/>
      <c r="L13" s="23"/>
      <c r="M13" s="24"/>
      <c r="N13" s="25"/>
      <c r="O13" s="26"/>
    </row>
    <row r="14" spans="1:15" ht="105" x14ac:dyDescent="0.3">
      <c r="A14" s="32" t="s">
        <v>23</v>
      </c>
      <c r="B14" s="32" t="s">
        <v>31</v>
      </c>
      <c r="C14" s="33" t="s">
        <v>14</v>
      </c>
      <c r="D14" s="32" t="s">
        <v>1</v>
      </c>
      <c r="E14" s="34" t="s">
        <v>2</v>
      </c>
      <c r="F14" s="35" t="s">
        <v>3</v>
      </c>
      <c r="G14" s="21"/>
      <c r="H14" s="36" t="s">
        <v>8</v>
      </c>
      <c r="I14" s="37" t="s">
        <v>5</v>
      </c>
      <c r="J14" s="38" t="s">
        <v>6</v>
      </c>
      <c r="K14" s="39" t="s">
        <v>7</v>
      </c>
      <c r="L14" s="40"/>
      <c r="M14" s="41" t="str">
        <f>'Ark2'!$A$3</f>
        <v>Nulemission</v>
      </c>
      <c r="N14" s="41" t="str">
        <f>'Ark2'!$A$4</f>
        <v>Diesel</v>
      </c>
      <c r="O14" s="43" t="s">
        <v>16</v>
      </c>
    </row>
    <row r="15" spans="1:15" ht="30" customHeight="1" x14ac:dyDescent="0.3">
      <c r="A15" s="143" t="s">
        <v>13</v>
      </c>
      <c r="B15" s="44">
        <f>IF($B$4='Ark2'!$A$3,12,4)</f>
        <v>4</v>
      </c>
      <c r="C15" s="9"/>
      <c r="D15" s="7"/>
      <c r="E15" s="4"/>
      <c r="F15" s="45">
        <f>E15*D15*12</f>
        <v>0</v>
      </c>
      <c r="G15" s="21"/>
      <c r="H15" s="6"/>
      <c r="I15" s="4"/>
      <c r="J15" s="4"/>
      <c r="K15" s="45">
        <f>(I15+J15)*H15</f>
        <v>0</v>
      </c>
      <c r="L15" s="47"/>
      <c r="M15" s="48" t="str">
        <f>IF($B$4='Ark2'!$A$3,$B15*($F15+$K15),"0,00")</f>
        <v>0,00</v>
      </c>
      <c r="N15" s="49">
        <f>IF($B$4='Ark2'!$A$4,$B15*($F15+$K15),"0,00")</f>
        <v>0</v>
      </c>
      <c r="O15" s="50">
        <f t="shared" ref="O15:O17" si="0">M15+N15</f>
        <v>0</v>
      </c>
    </row>
    <row r="16" spans="1:15" ht="15.75" x14ac:dyDescent="0.3">
      <c r="A16" s="143"/>
      <c r="B16" s="44">
        <f>IF($B$4='Ark2'!$A$3,12,4)</f>
        <v>4</v>
      </c>
      <c r="C16" s="9"/>
      <c r="D16" s="7"/>
      <c r="E16" s="4"/>
      <c r="F16" s="45">
        <f>E16*D16*12</f>
        <v>0</v>
      </c>
      <c r="G16" s="21"/>
      <c r="H16" s="6"/>
      <c r="I16" s="4"/>
      <c r="J16" s="4"/>
      <c r="K16" s="45">
        <f t="shared" ref="K16:K17" si="1">(I16+J16)*H16</f>
        <v>0</v>
      </c>
      <c r="L16" s="47"/>
      <c r="M16" s="48" t="str">
        <f>IF($B$4='Ark2'!$A$3,$B16*($F16+$K16),"0,00")</f>
        <v>0,00</v>
      </c>
      <c r="N16" s="49">
        <f>IF($B$4='Ark2'!$A$4,$B16*($F16+$K16),"0,00")</f>
        <v>0</v>
      </c>
      <c r="O16" s="50">
        <f t="shared" si="0"/>
        <v>0</v>
      </c>
    </row>
    <row r="17" spans="1:15" ht="15.75" x14ac:dyDescent="0.3">
      <c r="A17" s="143"/>
      <c r="B17" s="44">
        <f>IF($B$4='Ark2'!$A$3,12,4)</f>
        <v>4</v>
      </c>
      <c r="C17" s="9"/>
      <c r="D17" s="7"/>
      <c r="E17" s="4"/>
      <c r="F17" s="45">
        <f>E17*D17*12</f>
        <v>0</v>
      </c>
      <c r="G17" s="51"/>
      <c r="H17" s="6"/>
      <c r="I17" s="4"/>
      <c r="J17" s="4"/>
      <c r="K17" s="45">
        <f t="shared" si="1"/>
        <v>0</v>
      </c>
      <c r="L17" s="47"/>
      <c r="M17" s="48" t="str">
        <f>IF($B$4='Ark2'!$A$3,$B17*($F17+$K17),"0,00")</f>
        <v>0,00</v>
      </c>
      <c r="N17" s="49">
        <f>IF($B$4='Ark2'!$A$4,$B17*($F17+$K17),"0,00")</f>
        <v>0</v>
      </c>
      <c r="O17" s="50">
        <f t="shared" si="0"/>
        <v>0</v>
      </c>
    </row>
    <row r="18" spans="1:15" ht="15.75" x14ac:dyDescent="0.3">
      <c r="A18" s="52"/>
      <c r="B18" s="44"/>
      <c r="C18" s="44"/>
      <c r="D18" s="10">
        <f>SUM(D15:D17)</f>
        <v>0</v>
      </c>
      <c r="E18" s="53"/>
      <c r="F18" s="54"/>
      <c r="H18" s="46">
        <f>SUM(H15:H17)</f>
        <v>0</v>
      </c>
      <c r="I18" s="53"/>
      <c r="J18" s="53"/>
      <c r="K18" s="54"/>
      <c r="M18" s="55">
        <f>SUM(M15:M17)</f>
        <v>0</v>
      </c>
      <c r="N18" s="56">
        <f>SUM(N15:N17)</f>
        <v>0</v>
      </c>
      <c r="O18" s="57">
        <f>SUM(O15:O17)</f>
        <v>0</v>
      </c>
    </row>
    <row r="19" spans="1:15" x14ac:dyDescent="0.25">
      <c r="A19" s="52"/>
      <c r="B19" s="58"/>
      <c r="C19" s="58"/>
      <c r="F19" s="54"/>
      <c r="H19" s="59"/>
      <c r="K19" s="54"/>
      <c r="M19" s="55"/>
      <c r="N19" s="57"/>
      <c r="O19" s="60"/>
    </row>
    <row r="20" spans="1:15" ht="48" customHeight="1" x14ac:dyDescent="0.3">
      <c r="A20" s="41" t="s">
        <v>37</v>
      </c>
      <c r="B20" s="32" t="s">
        <v>31</v>
      </c>
      <c r="C20" s="44"/>
      <c r="D20" s="44"/>
      <c r="E20" s="42" t="s">
        <v>28</v>
      </c>
      <c r="F20" s="43" t="s">
        <v>9</v>
      </c>
      <c r="G20" s="40"/>
      <c r="H20" s="137"/>
      <c r="I20" s="138"/>
      <c r="J20" s="138"/>
      <c r="K20" s="139"/>
      <c r="L20" s="23"/>
      <c r="M20" s="61"/>
      <c r="N20" s="62"/>
      <c r="O20" s="63"/>
    </row>
    <row r="21" spans="1:15" ht="15.75" x14ac:dyDescent="0.3">
      <c r="A21" s="41"/>
      <c r="B21" s="44">
        <f>IF($B$4='Ark2'!$A$3,12,4)</f>
        <v>4</v>
      </c>
      <c r="C21" s="44"/>
      <c r="D21" s="53"/>
      <c r="E21" s="4"/>
      <c r="F21" s="45">
        <f>E21*12</f>
        <v>0</v>
      </c>
      <c r="G21" s="40"/>
      <c r="H21" s="64"/>
      <c r="I21" s="65"/>
      <c r="J21" s="66"/>
      <c r="K21" s="67"/>
      <c r="L21" s="40"/>
      <c r="M21" s="68" t="str">
        <f>IF($B$4='Ark2'!$A$3,$B21*($E21+$K21)*12,"0,00")</f>
        <v>0,00</v>
      </c>
      <c r="N21" s="69">
        <f>IF($B$4='Ark2'!$A$4,$B21*($F21+$K21),"0,00")</f>
        <v>0</v>
      </c>
      <c r="O21" s="70">
        <f t="shared" ref="O21" si="2">M21+N21</f>
        <v>0</v>
      </c>
    </row>
    <row r="22" spans="1:15" ht="15.75" x14ac:dyDescent="0.3">
      <c r="A22" s="71"/>
      <c r="C22" s="58"/>
      <c r="F22" s="72"/>
      <c r="G22" s="40"/>
      <c r="H22" s="3"/>
      <c r="I22" s="73"/>
      <c r="J22" s="73"/>
      <c r="K22" s="74"/>
      <c r="L22" s="47"/>
      <c r="M22" s="75"/>
      <c r="N22" s="56"/>
      <c r="O22" s="57"/>
    </row>
    <row r="23" spans="1:15" ht="45" x14ac:dyDescent="0.3">
      <c r="A23" s="42"/>
      <c r="B23" s="32" t="s">
        <v>31</v>
      </c>
      <c r="C23" s="42"/>
      <c r="D23" s="44"/>
      <c r="E23" s="44"/>
      <c r="F23" s="43"/>
      <c r="G23" s="21"/>
      <c r="H23" s="41" t="s">
        <v>18</v>
      </c>
      <c r="I23" s="44" t="s">
        <v>19</v>
      </c>
      <c r="J23" s="76"/>
      <c r="K23" s="43" t="s">
        <v>20</v>
      </c>
      <c r="L23" s="47"/>
      <c r="M23" s="61"/>
      <c r="N23" s="62"/>
      <c r="O23" s="63"/>
    </row>
    <row r="24" spans="1:15" ht="16.5" thickBot="1" x14ac:dyDescent="0.35">
      <c r="A24" s="77" t="s">
        <v>17</v>
      </c>
      <c r="B24" s="44">
        <f>IF($B$4='Ark2'!$A$3,12,4)</f>
        <v>4</v>
      </c>
      <c r="C24" s="78"/>
      <c r="D24" s="78"/>
      <c r="E24" s="78"/>
      <c r="F24" s="2"/>
      <c r="G24" s="1"/>
      <c r="H24" s="79">
        <f>$B$9</f>
        <v>0</v>
      </c>
      <c r="I24" s="5"/>
      <c r="J24" s="80"/>
      <c r="K24" s="45">
        <f>I24*H24</f>
        <v>0</v>
      </c>
      <c r="L24" s="47"/>
      <c r="M24" s="68" t="str">
        <f>IF($B$4='Ark2'!$A$3,$B24*($F24+$K24),"0,00")</f>
        <v>0,00</v>
      </c>
      <c r="N24" s="69">
        <f>IF($B$4='Ark2'!$A$4,$B24*($F24+$K24),"0,00")</f>
        <v>0</v>
      </c>
      <c r="O24" s="81">
        <f t="shared" ref="O24" si="3">M24+N24</f>
        <v>0</v>
      </c>
    </row>
    <row r="25" spans="1:15" ht="20.25" customHeight="1" thickBot="1" x14ac:dyDescent="0.3">
      <c r="A25" s="82" t="s">
        <v>38</v>
      </c>
      <c r="B25" s="83"/>
      <c r="C25" s="83"/>
      <c r="D25" s="83"/>
      <c r="E25" s="83"/>
      <c r="F25" s="84">
        <f>SUM(F15:F17)+F21</f>
        <v>0</v>
      </c>
      <c r="H25" s="85"/>
      <c r="I25" s="83"/>
      <c r="J25" s="83"/>
      <c r="K25" s="86">
        <f>SUM(K15:K17)+K24</f>
        <v>0</v>
      </c>
      <c r="M25" s="87">
        <f>M18+M21+M24</f>
        <v>0</v>
      </c>
      <c r="N25" s="87">
        <f>N18+N21+N24</f>
        <v>0</v>
      </c>
      <c r="O25" s="87">
        <f>O18+O21+O24</f>
        <v>0</v>
      </c>
    </row>
    <row r="26" spans="1:15" ht="15.75" thickBot="1" x14ac:dyDescent="0.3">
      <c r="A26" s="88"/>
      <c r="H26" s="88"/>
      <c r="M26" s="89"/>
      <c r="N26" s="90"/>
      <c r="O26" s="90"/>
    </row>
    <row r="27" spans="1:15" ht="15.75" thickBot="1" x14ac:dyDescent="0.3">
      <c r="A27" s="15" t="str">
        <f>IF($B$4 = 'Ark2'!$A$3, "Option kontraktperiode (Januar 2039-Januar 2041) - 2 år - Nulemission", "Option kontraktperiode (Januar 2031-Januar 2043) - 6*2 år - Diesel")</f>
        <v>Option kontraktperiode (Januar 2031-Januar 2043) - 6*2 år - Diesel</v>
      </c>
      <c r="B27" s="16"/>
      <c r="C27" s="16"/>
      <c r="D27" s="16"/>
      <c r="E27" s="16"/>
      <c r="F27" s="16"/>
      <c r="G27" s="16"/>
      <c r="H27" s="16"/>
      <c r="I27" s="16"/>
      <c r="J27" s="16"/>
      <c r="K27" s="16"/>
      <c r="L27" s="16"/>
      <c r="M27" s="91"/>
      <c r="N27" s="92"/>
      <c r="O27" s="93"/>
    </row>
    <row r="28" spans="1:15" ht="21" customHeight="1" x14ac:dyDescent="0.3">
      <c r="A28" s="20"/>
      <c r="B28" s="21"/>
      <c r="C28" s="21"/>
      <c r="D28" s="144" t="s">
        <v>0</v>
      </c>
      <c r="E28" s="140"/>
      <c r="F28" s="141"/>
      <c r="G28" s="21"/>
      <c r="H28" s="145" t="s">
        <v>4</v>
      </c>
      <c r="I28" s="146"/>
      <c r="J28" s="146"/>
      <c r="K28" s="147"/>
      <c r="L28" s="23"/>
      <c r="M28" s="94"/>
      <c r="N28" s="95" t="s">
        <v>15</v>
      </c>
      <c r="O28" s="96"/>
    </row>
    <row r="29" spans="1:15" ht="105" x14ac:dyDescent="0.3">
      <c r="A29" s="32" t="str">
        <f>A14</f>
        <v>Assens lokal</v>
      </c>
      <c r="B29" s="32" t="s">
        <v>31</v>
      </c>
      <c r="C29" s="33" t="s">
        <v>14</v>
      </c>
      <c r="D29" s="32" t="s">
        <v>1</v>
      </c>
      <c r="E29" s="34" t="s">
        <v>2</v>
      </c>
      <c r="F29" s="35" t="s">
        <v>3</v>
      </c>
      <c r="G29" s="21"/>
      <c r="H29" s="64" t="s">
        <v>8</v>
      </c>
      <c r="I29" s="65" t="s">
        <v>5</v>
      </c>
      <c r="J29" s="66" t="s">
        <v>6</v>
      </c>
      <c r="K29" s="67" t="s">
        <v>7</v>
      </c>
      <c r="L29" s="40"/>
      <c r="M29" s="41" t="str">
        <f>M14</f>
        <v>Nulemission</v>
      </c>
      <c r="N29" s="41" t="str">
        <f>N14</f>
        <v>Diesel</v>
      </c>
      <c r="O29" s="43" t="s">
        <v>16</v>
      </c>
    </row>
    <row r="30" spans="1:15" ht="15.75" x14ac:dyDescent="0.3">
      <c r="A30" s="148" t="s">
        <v>13</v>
      </c>
      <c r="B30" s="44" t="str">
        <f>IF($B$4='Ark2'!$A$3,2,"6*2 år")</f>
        <v>6*2 år</v>
      </c>
      <c r="C30" s="9"/>
      <c r="D30" s="7"/>
      <c r="E30" s="4"/>
      <c r="F30" s="110">
        <f>E30*D30*12</f>
        <v>0</v>
      </c>
      <c r="G30" s="21"/>
      <c r="H30" s="6"/>
      <c r="I30" s="4"/>
      <c r="J30" s="4"/>
      <c r="K30" s="110">
        <f>(I30+J30)*H30</f>
        <v>0</v>
      </c>
      <c r="L30" s="47"/>
      <c r="M30" s="48" t="str">
        <f>IF($B$4='Ark2'!$A$3,$B30*($F30+$K30),"0,00")</f>
        <v>0,00</v>
      </c>
      <c r="N30" s="49">
        <f>IF($B$4='Ark2'!$A$4,(6*2)*($F30+$K30),"0,00")</f>
        <v>0</v>
      </c>
      <c r="O30" s="50">
        <f>M30+N30</f>
        <v>0</v>
      </c>
    </row>
    <row r="31" spans="1:15" ht="15.75" x14ac:dyDescent="0.3">
      <c r="A31" s="148"/>
      <c r="B31" s="44" t="str">
        <f>IF($B$4='Ark2'!$A$3,2,"6*2 år")</f>
        <v>6*2 år</v>
      </c>
      <c r="C31" s="9"/>
      <c r="D31" s="7"/>
      <c r="E31" s="4"/>
      <c r="F31" s="110">
        <f>E31*D31*12</f>
        <v>0</v>
      </c>
      <c r="G31" s="21"/>
      <c r="H31" s="6"/>
      <c r="I31" s="4"/>
      <c r="J31" s="4"/>
      <c r="K31" s="110">
        <f>(I31+J31)*H31</f>
        <v>0</v>
      </c>
      <c r="L31" s="47"/>
      <c r="M31" s="48" t="str">
        <f>IF($B$4='Ark2'!$A$3,$B31*($F31+$K31),"0,00")</f>
        <v>0,00</v>
      </c>
      <c r="N31" s="49">
        <f>IF($B$4='Ark2'!$A$4,(6*2)*($F31+$K31),"0,00")</f>
        <v>0</v>
      </c>
      <c r="O31" s="50">
        <f t="shared" ref="O31:O32" si="4">M31+N31</f>
        <v>0</v>
      </c>
    </row>
    <row r="32" spans="1:15" ht="15.75" x14ac:dyDescent="0.3">
      <c r="A32" s="148"/>
      <c r="B32" s="44" t="str">
        <f>IF($B$4='Ark2'!$A$3,2,"6*2 år")</f>
        <v>6*2 år</v>
      </c>
      <c r="C32" s="9"/>
      <c r="D32" s="7"/>
      <c r="E32" s="4"/>
      <c r="F32" s="110">
        <f>E32*D32*12</f>
        <v>0</v>
      </c>
      <c r="G32" s="51"/>
      <c r="H32" s="6"/>
      <c r="I32" s="4"/>
      <c r="J32" s="4"/>
      <c r="K32" s="110">
        <f>(I32+J32)*H32</f>
        <v>0</v>
      </c>
      <c r="L32" s="47"/>
      <c r="M32" s="48" t="str">
        <f>IF($B$4='Ark2'!$A$3,$B32*($F32+$K32),"0,00")</f>
        <v>0,00</v>
      </c>
      <c r="N32" s="49">
        <f>IF($B$4='Ark2'!$A$4,(6*2)*($F32+$K32),"0,00")</f>
        <v>0</v>
      </c>
      <c r="O32" s="50">
        <f t="shared" si="4"/>
        <v>0</v>
      </c>
    </row>
    <row r="33" spans="1:15" ht="15.75" x14ac:dyDescent="0.3">
      <c r="A33" s="52"/>
      <c r="B33" s="58"/>
      <c r="C33" s="44"/>
      <c r="D33" s="10">
        <f>SUM(D30:D32)</f>
        <v>0</v>
      </c>
      <c r="E33" s="53"/>
      <c r="F33" s="54"/>
      <c r="H33" s="46">
        <f>SUM(H30:H32)</f>
        <v>0</v>
      </c>
      <c r="I33" s="53"/>
      <c r="J33" s="53"/>
      <c r="K33" s="54"/>
      <c r="M33" s="55">
        <f>SUM(M30:M32)</f>
        <v>0</v>
      </c>
      <c r="N33" s="97">
        <f>SUM(N30:N32)</f>
        <v>0</v>
      </c>
      <c r="O33" s="97">
        <f>SUM(O30:O32)</f>
        <v>0</v>
      </c>
    </row>
    <row r="34" spans="1:15" x14ac:dyDescent="0.25">
      <c r="A34" s="52"/>
      <c r="B34" s="58"/>
      <c r="C34" s="58"/>
      <c r="F34" s="54"/>
      <c r="H34" s="59"/>
      <c r="K34" s="54"/>
      <c r="M34" s="55"/>
      <c r="N34" s="57"/>
      <c r="O34" s="60"/>
    </row>
    <row r="35" spans="1:15" ht="45" x14ac:dyDescent="0.3">
      <c r="A35" s="41" t="s">
        <v>37</v>
      </c>
      <c r="B35" s="32" t="s">
        <v>31</v>
      </c>
      <c r="C35" s="44"/>
      <c r="D35" s="44"/>
      <c r="E35" s="42" t="s">
        <v>28</v>
      </c>
      <c r="F35" s="43" t="s">
        <v>9</v>
      </c>
      <c r="G35" s="40"/>
      <c r="H35" s="137"/>
      <c r="I35" s="138"/>
      <c r="J35" s="138"/>
      <c r="K35" s="139"/>
      <c r="L35" s="23"/>
      <c r="M35" s="61"/>
      <c r="N35" s="62"/>
      <c r="O35" s="63"/>
    </row>
    <row r="36" spans="1:15" ht="15.75" x14ac:dyDescent="0.3">
      <c r="A36" s="41"/>
      <c r="B36" s="44" t="str">
        <f>IF($B$4='Ark2'!$A$3,2,"6*2 år")</f>
        <v>6*2 år</v>
      </c>
      <c r="C36" s="44"/>
      <c r="D36" s="53"/>
      <c r="E36" s="4"/>
      <c r="F36" s="45">
        <f>E36*12</f>
        <v>0</v>
      </c>
      <c r="G36" s="40"/>
      <c r="H36" s="64"/>
      <c r="I36" s="65"/>
      <c r="J36" s="66"/>
      <c r="K36" s="67"/>
      <c r="L36" s="40"/>
      <c r="M36" s="68" t="str">
        <f>IF($B$4='Ark2'!$A$3,$B36*($E36+$K36)*12,"0,00")</f>
        <v>0,00</v>
      </c>
      <c r="N36" s="69">
        <f>IF($B$4='Ark2'!$A$4,6*2*($F36+$K36),"0,00")</f>
        <v>0</v>
      </c>
      <c r="O36" s="70">
        <f t="shared" ref="O36" si="5">M36+N36</f>
        <v>0</v>
      </c>
    </row>
    <row r="37" spans="1:15" ht="15.75" x14ac:dyDescent="0.3">
      <c r="A37" s="71"/>
      <c r="C37" s="58"/>
      <c r="F37" s="72"/>
      <c r="G37" s="40"/>
      <c r="H37" s="3"/>
      <c r="I37" s="73"/>
      <c r="J37" s="73"/>
      <c r="K37" s="74"/>
      <c r="L37" s="47"/>
      <c r="M37" s="75"/>
      <c r="N37" s="56"/>
      <c r="O37" s="57"/>
    </row>
    <row r="38" spans="1:15" ht="45" x14ac:dyDescent="0.3">
      <c r="A38" s="41"/>
      <c r="B38" s="32" t="s">
        <v>31</v>
      </c>
      <c r="C38" s="42"/>
      <c r="D38" s="44"/>
      <c r="E38" s="44"/>
      <c r="F38" s="43"/>
      <c r="G38" s="21"/>
      <c r="H38" s="41" t="s">
        <v>18</v>
      </c>
      <c r="I38" s="44" t="s">
        <v>19</v>
      </c>
      <c r="J38" s="73"/>
      <c r="K38" s="43" t="s">
        <v>20</v>
      </c>
      <c r="L38" s="47"/>
      <c r="M38" s="61"/>
      <c r="N38" s="62"/>
      <c r="O38" s="63"/>
    </row>
    <row r="39" spans="1:15" ht="16.5" thickBot="1" x14ac:dyDescent="0.35">
      <c r="A39" s="77" t="s">
        <v>17</v>
      </c>
      <c r="B39" s="44" t="str">
        <f>IF($B$4='Ark2'!$A$3,2,"6*2 år")</f>
        <v>6*2 år</v>
      </c>
      <c r="C39" s="78"/>
      <c r="D39" s="78"/>
      <c r="E39" s="78"/>
      <c r="F39" s="2"/>
      <c r="G39" s="1"/>
      <c r="H39" s="98">
        <f>$B$9</f>
        <v>0</v>
      </c>
      <c r="I39" s="5"/>
      <c r="J39" s="99"/>
      <c r="K39" s="45">
        <f>H39*I39</f>
        <v>0</v>
      </c>
      <c r="L39" s="47"/>
      <c r="M39" s="68" t="str">
        <f>IF($B$4='Ark2'!$A$3,$B39*($F39+$K39),"0")</f>
        <v>0</v>
      </c>
      <c r="N39" s="69">
        <f>IF($B$4='Ark2'!$A$4,6*2*($F39+$K39),"0,00")</f>
        <v>0</v>
      </c>
      <c r="O39" s="81">
        <f t="shared" ref="O39" si="6">M39+N39</f>
        <v>0</v>
      </c>
    </row>
    <row r="40" spans="1:15" ht="15.75" thickBot="1" x14ac:dyDescent="0.3">
      <c r="A40" s="82" t="s">
        <v>38</v>
      </c>
      <c r="B40" s="83"/>
      <c r="C40" s="83"/>
      <c r="D40" s="83"/>
      <c r="E40" s="83"/>
      <c r="F40" s="84">
        <f>SUM(F30:F32)+F36</f>
        <v>0</v>
      </c>
      <c r="H40" s="85"/>
      <c r="I40" s="83"/>
      <c r="J40" s="83"/>
      <c r="K40" s="84">
        <f>SUM(K30:K32)+K39</f>
        <v>0</v>
      </c>
      <c r="M40" s="87">
        <f>M33+M36+M39</f>
        <v>0</v>
      </c>
      <c r="N40" s="87">
        <f>N33+N36+N39</f>
        <v>0</v>
      </c>
      <c r="O40" s="87">
        <f>O33+O36+O39</f>
        <v>0</v>
      </c>
    </row>
    <row r="41" spans="1:15" ht="15.75" thickBot="1" x14ac:dyDescent="0.3">
      <c r="A41" s="88"/>
      <c r="H41" s="88"/>
      <c r="M41" s="89"/>
      <c r="N41" s="90"/>
      <c r="O41" s="90"/>
    </row>
    <row r="42" spans="1:15" ht="15.75" thickBot="1" x14ac:dyDescent="0.3">
      <c r="A42" s="15" t="str">
        <f>IF($B$4 ='Ark2'!$A$3, "Option kontraktperiode (Januar 2041-Januar 2043) - 2 år - Nulemission", "Skal ikke udfyldes")</f>
        <v>Skal ikke udfyldes</v>
      </c>
      <c r="B42" s="16"/>
      <c r="C42" s="16"/>
      <c r="D42" s="16"/>
      <c r="E42" s="16"/>
      <c r="F42" s="16"/>
      <c r="G42" s="16"/>
      <c r="H42" s="16"/>
      <c r="I42" s="16"/>
      <c r="J42" s="16"/>
      <c r="K42" s="16"/>
      <c r="L42" s="16"/>
      <c r="M42" s="91"/>
      <c r="N42" s="92"/>
      <c r="O42" s="93"/>
    </row>
    <row r="43" spans="1:15" ht="15.75" x14ac:dyDescent="0.3">
      <c r="A43" s="20"/>
      <c r="B43" s="21"/>
      <c r="C43" s="21"/>
      <c r="D43" s="144" t="s">
        <v>0</v>
      </c>
      <c r="E43" s="140"/>
      <c r="F43" s="141"/>
      <c r="G43" s="21"/>
      <c r="H43" s="145" t="s">
        <v>4</v>
      </c>
      <c r="I43" s="146"/>
      <c r="J43" s="146"/>
      <c r="K43" s="147"/>
      <c r="L43" s="23"/>
      <c r="M43" s="94"/>
      <c r="N43" s="95" t="s">
        <v>15</v>
      </c>
      <c r="O43" s="96"/>
    </row>
    <row r="44" spans="1:15" ht="105" x14ac:dyDescent="0.3">
      <c r="A44" s="100" t="str">
        <f>A29</f>
        <v>Assens lokal</v>
      </c>
      <c r="B44" s="32" t="s">
        <v>31</v>
      </c>
      <c r="C44" s="32" t="s">
        <v>14</v>
      </c>
      <c r="D44" s="32" t="s">
        <v>1</v>
      </c>
      <c r="E44" s="34" t="s">
        <v>2</v>
      </c>
      <c r="F44" s="35" t="s">
        <v>3</v>
      </c>
      <c r="G44" s="21"/>
      <c r="H44" s="64" t="s">
        <v>8</v>
      </c>
      <c r="I44" s="65" t="s">
        <v>5</v>
      </c>
      <c r="J44" s="66" t="s">
        <v>6</v>
      </c>
      <c r="K44" s="67" t="s">
        <v>7</v>
      </c>
      <c r="L44" s="40"/>
      <c r="M44" s="101" t="str">
        <f>M29</f>
        <v>Nulemission</v>
      </c>
      <c r="N44" s="101" t="str">
        <f>N29</f>
        <v>Diesel</v>
      </c>
      <c r="O44" s="103" t="s">
        <v>16</v>
      </c>
    </row>
    <row r="45" spans="1:15" ht="15.75" x14ac:dyDescent="0.3">
      <c r="A45" s="148" t="s">
        <v>13</v>
      </c>
      <c r="B45" s="44" t="str">
        <f>IF($B$4='Ark2'!$A$3,2,"")</f>
        <v/>
      </c>
      <c r="C45" s="9"/>
      <c r="D45" s="7"/>
      <c r="E45" s="4"/>
      <c r="F45" s="110" t="str">
        <f>IF($B$4='Ark2'!$A$3,E45*D45*12,"0,00")</f>
        <v>0,00</v>
      </c>
      <c r="G45" s="21"/>
      <c r="H45" s="6"/>
      <c r="I45" s="4"/>
      <c r="J45" s="4"/>
      <c r="K45" s="110" t="str">
        <f>IF($B$4='Ark2'!$A$3,(I45+J45)*H45,"0,00")</f>
        <v>0,00</v>
      </c>
      <c r="L45" s="47"/>
      <c r="M45" s="48" t="str">
        <f>IF($B$45="","0,00",$B45*($F45+$K45))</f>
        <v>0,00</v>
      </c>
      <c r="N45" s="49" t="str">
        <f>IF($B45="","0,00","0,00")</f>
        <v>0,00</v>
      </c>
      <c r="O45" s="50">
        <f>M45+N45</f>
        <v>0</v>
      </c>
    </row>
    <row r="46" spans="1:15" ht="15.75" x14ac:dyDescent="0.3">
      <c r="A46" s="148"/>
      <c r="B46" s="44" t="str">
        <f>IF($B$4='Ark2'!$A$3,2,"")</f>
        <v/>
      </c>
      <c r="C46" s="9"/>
      <c r="D46" s="7"/>
      <c r="E46" s="4"/>
      <c r="F46" s="110" t="str">
        <f>IF($B$4='Ark2'!$A$3,E46*D46*12,"0,00")</f>
        <v>0,00</v>
      </c>
      <c r="G46" s="21"/>
      <c r="H46" s="6"/>
      <c r="I46" s="4"/>
      <c r="J46" s="4"/>
      <c r="K46" s="110" t="str">
        <f>IF($B$4='Ark2'!$A$3,(I46+J46)*H46,"0,00")</f>
        <v>0,00</v>
      </c>
      <c r="L46" s="47"/>
      <c r="M46" s="48" t="str">
        <f>IF($B$46="","0,00",$B46*($F46+$K46))</f>
        <v>0,00</v>
      </c>
      <c r="N46" s="49" t="str">
        <f>IF($B46="","0,00","0,00")</f>
        <v>0,00</v>
      </c>
      <c r="O46" s="50">
        <f t="shared" ref="O46:O47" si="7">M46+N46</f>
        <v>0</v>
      </c>
    </row>
    <row r="47" spans="1:15" ht="15.75" x14ac:dyDescent="0.3">
      <c r="A47" s="148"/>
      <c r="B47" s="44" t="str">
        <f>IF($B$4='Ark2'!$A$3,2,"")</f>
        <v/>
      </c>
      <c r="C47" s="9"/>
      <c r="D47" s="7"/>
      <c r="E47" s="4"/>
      <c r="F47" s="110" t="str">
        <f>IF($B$4='Ark2'!$A$3,E47*D47*12,"0,00")</f>
        <v>0,00</v>
      </c>
      <c r="G47" s="51"/>
      <c r="H47" s="6"/>
      <c r="I47" s="4"/>
      <c r="J47" s="4"/>
      <c r="K47" s="110" t="str">
        <f>IF($B$4='Ark2'!$A$3,(I47+J47)*H47,"0,00")</f>
        <v>0,00</v>
      </c>
      <c r="L47" s="47"/>
      <c r="M47" s="48" t="str">
        <f>IF($B$47="","0,00",$B47*($F47+$K47))</f>
        <v>0,00</v>
      </c>
      <c r="N47" s="49" t="str">
        <f>IF($B47="","0,00","0,00")</f>
        <v>0,00</v>
      </c>
      <c r="O47" s="50">
        <f t="shared" si="7"/>
        <v>0</v>
      </c>
    </row>
    <row r="48" spans="1:15" ht="16.5" customHeight="1" x14ac:dyDescent="0.3">
      <c r="A48" s="52"/>
      <c r="B48" s="58"/>
      <c r="C48" s="44"/>
      <c r="D48" s="10">
        <f>SUM(D45:D47)</f>
        <v>0</v>
      </c>
      <c r="E48" s="53"/>
      <c r="F48" s="54"/>
      <c r="H48" s="46">
        <f>SUM(H45:H47)</f>
        <v>0</v>
      </c>
      <c r="I48" s="53"/>
      <c r="J48" s="53"/>
      <c r="K48" s="54"/>
      <c r="M48" s="75">
        <f>SUM(M45:M47)</f>
        <v>0</v>
      </c>
      <c r="N48" s="56">
        <f>SUM(N45:N47)</f>
        <v>0</v>
      </c>
      <c r="O48" s="57">
        <f>SUM(O45:O47)</f>
        <v>0</v>
      </c>
    </row>
    <row r="49" spans="1:15" x14ac:dyDescent="0.25">
      <c r="A49" s="52"/>
      <c r="B49" s="58"/>
      <c r="C49" s="58"/>
      <c r="F49" s="54"/>
      <c r="H49" s="59"/>
      <c r="K49" s="54"/>
      <c r="M49" s="55"/>
      <c r="N49" s="57"/>
      <c r="O49" s="60"/>
    </row>
    <row r="50" spans="1:15" ht="45" x14ac:dyDescent="0.3">
      <c r="A50" s="41" t="s">
        <v>9</v>
      </c>
      <c r="B50" s="32" t="s">
        <v>31</v>
      </c>
      <c r="C50" s="44"/>
      <c r="D50" s="44"/>
      <c r="E50" s="42" t="s">
        <v>28</v>
      </c>
      <c r="F50" s="43" t="s">
        <v>9</v>
      </c>
      <c r="G50" s="40"/>
      <c r="H50" s="137"/>
      <c r="I50" s="138"/>
      <c r="J50" s="138"/>
      <c r="K50" s="139"/>
      <c r="L50" s="23"/>
      <c r="M50" s="104"/>
      <c r="N50" s="62"/>
      <c r="O50" s="105"/>
    </row>
    <row r="51" spans="1:15" ht="15.75" x14ac:dyDescent="0.3">
      <c r="A51" s="41"/>
      <c r="B51" s="44" t="str">
        <f>IF($B$4='Ark2'!$A$3,2,"")</f>
        <v/>
      </c>
      <c r="C51" s="44"/>
      <c r="D51" s="53"/>
      <c r="E51" s="4"/>
      <c r="F51" s="45" t="str">
        <f>IF($B$4='Ark2'!$A$3,E51*12,"0,00")</f>
        <v>0,00</v>
      </c>
      <c r="G51" s="40"/>
      <c r="H51" s="64"/>
      <c r="I51" s="65"/>
      <c r="J51" s="66"/>
      <c r="K51" s="67"/>
      <c r="L51" s="40"/>
      <c r="M51" s="48" t="str">
        <f>IF($B$51="","0,00",$B51*($F51+$K51))</f>
        <v>0,00</v>
      </c>
      <c r="N51" s="49" t="str">
        <f>IF($B51="","0,00","0,00")</f>
        <v>0,00</v>
      </c>
      <c r="O51" s="106">
        <f t="shared" ref="O51" si="8">M51+N51</f>
        <v>0</v>
      </c>
    </row>
    <row r="52" spans="1:15" ht="15.75" x14ac:dyDescent="0.3">
      <c r="A52" s="71"/>
      <c r="C52" s="58"/>
      <c r="F52" s="72"/>
      <c r="G52" s="40"/>
      <c r="H52" s="3"/>
      <c r="I52" s="73"/>
      <c r="J52" s="73"/>
      <c r="K52" s="74"/>
      <c r="L52" s="47"/>
      <c r="M52" s="75"/>
      <c r="N52" s="56"/>
      <c r="O52" s="57"/>
    </row>
    <row r="53" spans="1:15" ht="54.75" customHeight="1" x14ac:dyDescent="0.3">
      <c r="A53" s="41"/>
      <c r="B53" s="32" t="s">
        <v>31</v>
      </c>
      <c r="C53" s="42"/>
      <c r="D53" s="44"/>
      <c r="E53" s="44"/>
      <c r="F53" s="43"/>
      <c r="G53" s="21"/>
      <c r="H53" s="41" t="s">
        <v>18</v>
      </c>
      <c r="I53" s="44" t="s">
        <v>19</v>
      </c>
      <c r="J53" s="76"/>
      <c r="K53" s="43" t="s">
        <v>20</v>
      </c>
      <c r="L53" s="47"/>
      <c r="M53" s="61"/>
      <c r="N53" s="62"/>
      <c r="O53" s="63"/>
    </row>
    <row r="54" spans="1:15" ht="16.5" thickBot="1" x14ac:dyDescent="0.35">
      <c r="A54" s="77" t="s">
        <v>17</v>
      </c>
      <c r="B54" s="44" t="str">
        <f>IF($B$4='Ark2'!$A$3,2,"")</f>
        <v/>
      </c>
      <c r="C54" s="78"/>
      <c r="D54" s="78"/>
      <c r="E54" s="78"/>
      <c r="F54" s="2"/>
      <c r="G54" s="1"/>
      <c r="H54" s="8">
        <f>$B$9</f>
        <v>0</v>
      </c>
      <c r="I54" s="4"/>
      <c r="J54" s="76"/>
      <c r="K54" s="45" t="str">
        <f>IF($B$4='Ark2'!$A$3,H54*I54,"0,00")</f>
        <v>0,00</v>
      </c>
      <c r="L54" s="47"/>
      <c r="M54" s="48" t="str">
        <f>IF($B$54="","0,00",$B54*($F54+$K54))</f>
        <v>0,00</v>
      </c>
      <c r="N54" s="49" t="str">
        <f>IF($B54="","0,00","0,00")</f>
        <v>0,00</v>
      </c>
      <c r="O54" s="107">
        <f t="shared" ref="O54" si="9">M54+N54</f>
        <v>0</v>
      </c>
    </row>
    <row r="55" spans="1:15" ht="15.75" thickBot="1" x14ac:dyDescent="0.3">
      <c r="A55" s="82" t="s">
        <v>38</v>
      </c>
      <c r="B55" s="83"/>
      <c r="C55" s="83"/>
      <c r="D55" s="83"/>
      <c r="E55" s="83"/>
      <c r="F55" s="84">
        <f>SUM(F45:F47)+F51</f>
        <v>0</v>
      </c>
      <c r="H55" s="85"/>
      <c r="I55" s="83"/>
      <c r="J55" s="83"/>
      <c r="K55" s="84">
        <f>SUM(K45:K47)+K54</f>
        <v>0</v>
      </c>
      <c r="M55" s="87">
        <f>M48+M51+M54</f>
        <v>0</v>
      </c>
      <c r="N55" s="87">
        <f>N48+N51+N54</f>
        <v>0</v>
      </c>
      <c r="O55" s="87">
        <f>O48+O51+O54</f>
        <v>0</v>
      </c>
    </row>
    <row r="56" spans="1:15" x14ac:dyDescent="0.25">
      <c r="A56" s="59"/>
      <c r="M56" s="89"/>
      <c r="N56" s="90"/>
      <c r="O56" s="90"/>
    </row>
    <row r="57" spans="1:15" ht="15.75" thickBot="1" x14ac:dyDescent="0.3">
      <c r="A57" s="59"/>
      <c r="M57" s="89"/>
      <c r="N57" s="90"/>
      <c r="O57" s="90"/>
    </row>
    <row r="58" spans="1:15" ht="15.75" thickBot="1" x14ac:dyDescent="0.3">
      <c r="A58" s="59"/>
      <c r="F58" s="108" t="str">
        <f>IF($B$4='Ark2'!$A$3,_xlfn.CONCAT("Total ",A14," - ",'Ark2'!$A$3," - 16 år"),_xlfn.CONCAT("Total ",A14," - ",'Ark2'!$A$4," - 4 år + 6*2 år"))</f>
        <v>Total Assens lokal - Diesel - 4 år + 6*2 år</v>
      </c>
      <c r="M58" s="87">
        <f>M55+M40+M25</f>
        <v>0</v>
      </c>
      <c r="N58" s="87">
        <f>N55+N40+N25</f>
        <v>0</v>
      </c>
      <c r="O58" s="87">
        <f>O55+O40+O25</f>
        <v>0</v>
      </c>
    </row>
    <row r="59" spans="1:15" x14ac:dyDescent="0.25">
      <c r="A59" s="59"/>
      <c r="M59" s="109"/>
    </row>
    <row r="60" spans="1:15" x14ac:dyDescent="0.25">
      <c r="A60" s="59"/>
    </row>
    <row r="63" spans="1:15" ht="16.5" customHeight="1" x14ac:dyDescent="0.25"/>
    <row r="66" customFormat="1" ht="15.75" customHeight="1" x14ac:dyDescent="0.25"/>
  </sheetData>
  <sheetProtection algorithmName="SHA-512" hashValue="lOUwzhll5vLEtByanwERVx52vnvmXkruB+/jOjqAModwG6M0QcvsUukjCdSadjORZ1pHh+bEdFF0WmlSyDaNIw==" saltValue="+ESQAb6RUmtCmRXxri4uQg==" spinCount="100000" sheet="1" objects="1" scenarios="1"/>
  <protectedRanges>
    <protectedRange sqref="E21 E36 E51" name="F1"/>
    <protectedRange sqref="F52:F53 K53 G23:G24 F22:F23 K23 G38:G39 F37:F38 K38 G53:G54 I24 I39 I54" name="P3 Ø"/>
    <protectedRange sqref="E21 E36 E51" name="P3 C"/>
    <protectedRange sqref="E30:E32 E45:E47" name="P3 B_1"/>
    <protectedRange sqref="I15:I17 I30:I32 I45:I47" name="P3 Ø_1"/>
    <protectedRange sqref="J15:J17 J30:J32 J45:J47" name="P3 C_1"/>
    <protectedRange sqref="F21" name="F1_1"/>
    <protectedRange sqref="F21" name="P3 C_2"/>
    <protectedRange sqref="E15:E17" name="P3 B"/>
    <protectedRange sqref="F36" name="F1_1_1"/>
    <protectedRange sqref="F36" name="P3 C_2_1"/>
  </protectedRanges>
  <mergeCells count="13">
    <mergeCell ref="M12:O12"/>
    <mergeCell ref="H50:K50"/>
    <mergeCell ref="D12:F12"/>
    <mergeCell ref="H12:K12"/>
    <mergeCell ref="A15:A17"/>
    <mergeCell ref="H20:K20"/>
    <mergeCell ref="D28:F28"/>
    <mergeCell ref="H28:K28"/>
    <mergeCell ref="A30:A32"/>
    <mergeCell ref="H35:K35"/>
    <mergeCell ref="D43:F43"/>
    <mergeCell ref="H43:K43"/>
    <mergeCell ref="A45:A47"/>
  </mergeCells>
  <conditionalFormatting sqref="H18">
    <cfRule type="cellIs" dxfId="35" priority="5" operator="notEqual">
      <formula>$B$8</formula>
    </cfRule>
    <cfRule type="expression" dxfId="34" priority="6">
      <formula>SUM($H$15:$H$17)=$B$8</formula>
    </cfRule>
  </conditionalFormatting>
  <conditionalFormatting sqref="H33">
    <cfRule type="cellIs" dxfId="33" priority="3" operator="notEqual">
      <formula>$B$8</formula>
    </cfRule>
    <cfRule type="expression" dxfId="32" priority="4">
      <formula>SUM($H$30:$H$32)=$B$8</formula>
    </cfRule>
  </conditionalFormatting>
  <conditionalFormatting sqref="H48">
    <cfRule type="cellIs" dxfId="31" priority="1" operator="notEqual">
      <formula>$B$8</formula>
    </cfRule>
    <cfRule type="expression" dxfId="30" priority="2">
      <formula>SUM($H$45:$H$47)=$B$8</formula>
    </cfRule>
  </conditionalFormatting>
  <pageMargins left="0.23622047244094491" right="0.23622047244094491" top="0.94488188976377963" bottom="0.74803149606299213" header="0.31496062992125984" footer="0.31496062992125984"/>
  <pageSetup paperSize="9" scale="33" orientation="portrait" r:id="rId1"/>
  <headerFooter>
    <oddHeader xml:space="preserve">&amp;L&amp;10FynBus, 9. februar 2024 
Udbud af emissionsfri buskørsel i Svendborg By
J.nr. 202311-40216 </oddHeader>
  </headerFooter>
  <rowBreaks count="1" manualBreakCount="1">
    <brk id="59" max="16"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4D3FC889-93F9-41B9-9E83-5E5D01187992}">
          <x14:formula1>
            <xm:f>'Ark2'!$A$2:$A$4</xm:f>
          </x14:formula1>
          <xm:sqref>B4</xm:sqref>
        </x14:dataValidation>
        <x14:dataValidation type="list" allowBlank="1" showInputMessage="1" showErrorMessage="1" xr:uid="{41203547-264B-4EBB-A826-069591E77A48}">
          <x14:formula1>
            <xm:f>'Ark2'!$E$2:$E$5</xm:f>
          </x14:formula1>
          <xm:sqref>C15:C17 C30:C32 C45:C47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37AE2-5332-448F-A54F-BAD41D8A2245}">
  <dimension ref="A1:O66"/>
  <sheetViews>
    <sheetView zoomScale="80" zoomScaleNormal="80" zoomScaleSheetLayoutView="90" workbookViewId="0">
      <selection activeCell="B4" sqref="B4"/>
    </sheetView>
  </sheetViews>
  <sheetFormatPr defaultRowHeight="15" x14ac:dyDescent="0.25"/>
  <cols>
    <col min="1" max="1" width="33.85546875" customWidth="1"/>
    <col min="2" max="2" width="18.42578125" customWidth="1"/>
    <col min="3" max="4" width="19" customWidth="1"/>
    <col min="5" max="5" width="14.28515625" customWidth="1"/>
    <col min="6" max="6" width="21.140625" customWidth="1"/>
    <col min="7" max="7" width="11.7109375" customWidth="1"/>
    <col min="8" max="8" width="10.5703125" customWidth="1"/>
    <col min="9" max="9" width="14.5703125" customWidth="1"/>
    <col min="11" max="11" width="19.5703125" customWidth="1"/>
    <col min="12" max="12" width="11.7109375" customWidth="1"/>
    <col min="13" max="13" width="20.85546875" customWidth="1"/>
    <col min="14" max="14" width="17.28515625" customWidth="1"/>
    <col min="15" max="15" width="24.5703125" customWidth="1"/>
    <col min="16" max="16" width="21.85546875" customWidth="1"/>
    <col min="18" max="18" width="20.42578125" customWidth="1"/>
  </cols>
  <sheetData>
    <row r="1" spans="1:15" ht="33" customHeight="1" x14ac:dyDescent="0.25">
      <c r="A1" s="11" t="str">
        <f>_xlfn.CONCAT("Tilbudsskema - Fælles udbud - pakke 1 - Delkontrakt 2 - ", A14)</f>
        <v>Tilbudsskema - Fælles udbud - pakke 1 - Delkontrakt 2 - Kerteminde lokal</v>
      </c>
      <c r="B1" s="11"/>
      <c r="C1" s="11"/>
      <c r="D1" s="11"/>
    </row>
    <row r="2" spans="1:15" ht="141.75" customHeight="1" x14ac:dyDescent="0.25">
      <c r="A2" s="12"/>
      <c r="B2" s="12"/>
      <c r="C2" s="12"/>
      <c r="D2" s="12"/>
    </row>
    <row r="3" spans="1:15" ht="244.5" customHeight="1" x14ac:dyDescent="0.25">
      <c r="A3" s="12"/>
      <c r="B3" s="12"/>
      <c r="C3" s="12"/>
      <c r="D3" s="12"/>
    </row>
    <row r="4" spans="1:15" ht="16.5" customHeight="1" x14ac:dyDescent="0.25">
      <c r="A4" s="13" t="s">
        <v>10</v>
      </c>
      <c r="B4" s="127" t="s">
        <v>11</v>
      </c>
      <c r="C4" s="12"/>
      <c r="D4" s="12"/>
    </row>
    <row r="5" spans="1:15" ht="19.5" customHeight="1" x14ac:dyDescent="0.25">
      <c r="A5" s="12"/>
      <c r="B5" s="12"/>
      <c r="C5" s="12"/>
      <c r="D5" s="12"/>
    </row>
    <row r="6" spans="1:15" ht="19.5" customHeight="1" x14ac:dyDescent="0.25">
      <c r="A6" s="12" t="s">
        <v>32</v>
      </c>
      <c r="B6" s="12"/>
      <c r="C6" s="12"/>
      <c r="D6" s="12"/>
    </row>
    <row r="7" spans="1:15" ht="19.5" customHeight="1" x14ac:dyDescent="0.25">
      <c r="A7" s="12" t="s">
        <v>33</v>
      </c>
      <c r="B7" s="12">
        <v>10</v>
      </c>
      <c r="C7" s="12"/>
      <c r="D7" s="12"/>
    </row>
    <row r="8" spans="1:15" ht="19.5" customHeight="1" x14ac:dyDescent="0.25">
      <c r="A8" s="12" t="s">
        <v>34</v>
      </c>
      <c r="B8" s="14">
        <v>8171</v>
      </c>
      <c r="C8" s="12"/>
      <c r="D8" s="12"/>
    </row>
    <row r="9" spans="1:15" ht="19.5" customHeight="1" x14ac:dyDescent="0.25">
      <c r="A9" s="12" t="s">
        <v>36</v>
      </c>
      <c r="B9" s="14">
        <v>0</v>
      </c>
      <c r="C9" s="12"/>
      <c r="D9" s="12"/>
    </row>
    <row r="10" spans="1:15" ht="19.5" customHeight="1" thickBot="1" x14ac:dyDescent="0.3">
      <c r="A10" s="12"/>
      <c r="B10" s="12"/>
      <c r="C10" s="12"/>
      <c r="D10" s="12"/>
    </row>
    <row r="11" spans="1:15" ht="15.75" thickBot="1" x14ac:dyDescent="0.3">
      <c r="A11" s="15" t="str">
        <f>IF($B$4 = 'Ark2'!$A$3, "Ordinær kontraktperiode (Januar 2027-Januar 2039) - 12 år - Nulemission", "Ordinær kontraktperiode (Januar 2027-Januar 2031) - 4 år - Diesel")</f>
        <v>Ordinær kontraktperiode (Januar 2027-Januar 2031) - 4 år - Diesel</v>
      </c>
      <c r="B11" s="16"/>
      <c r="C11" s="16"/>
      <c r="D11" s="16"/>
      <c r="E11" s="16"/>
      <c r="F11" s="16"/>
      <c r="G11" s="16"/>
      <c r="H11" s="16"/>
      <c r="I11" s="16"/>
      <c r="J11" s="16"/>
      <c r="K11" s="16"/>
      <c r="L11" s="16"/>
      <c r="M11" s="17"/>
      <c r="N11" s="18"/>
      <c r="O11" s="19"/>
    </row>
    <row r="12" spans="1:15" ht="20.25" customHeight="1" x14ac:dyDescent="0.3">
      <c r="A12" s="20"/>
      <c r="B12" s="21"/>
      <c r="C12" s="22"/>
      <c r="D12" s="140" t="s">
        <v>0</v>
      </c>
      <c r="E12" s="140"/>
      <c r="F12" s="141"/>
      <c r="G12" s="21"/>
      <c r="H12" s="142" t="s">
        <v>4</v>
      </c>
      <c r="I12" s="140"/>
      <c r="J12" s="140"/>
      <c r="K12" s="141"/>
      <c r="L12" s="23"/>
      <c r="M12" s="134" t="s">
        <v>15</v>
      </c>
      <c r="N12" s="135"/>
      <c r="O12" s="136"/>
    </row>
    <row r="13" spans="1:15" ht="16.5" thickBot="1" x14ac:dyDescent="0.35">
      <c r="A13" s="21"/>
      <c r="B13" s="21"/>
      <c r="C13" s="27"/>
      <c r="D13" s="21"/>
      <c r="E13" s="28"/>
      <c r="F13" s="29"/>
      <c r="G13" s="21"/>
      <c r="H13" s="30"/>
      <c r="I13" s="23"/>
      <c r="J13" s="23"/>
      <c r="K13" s="31"/>
      <c r="L13" s="23"/>
      <c r="M13" s="24"/>
      <c r="N13" s="25"/>
      <c r="O13" s="26"/>
    </row>
    <row r="14" spans="1:15" ht="105" x14ac:dyDescent="0.3">
      <c r="A14" s="32" t="s">
        <v>25</v>
      </c>
      <c r="B14" s="32" t="s">
        <v>31</v>
      </c>
      <c r="C14" s="33" t="s">
        <v>14</v>
      </c>
      <c r="D14" s="32" t="s">
        <v>1</v>
      </c>
      <c r="E14" s="34" t="s">
        <v>2</v>
      </c>
      <c r="F14" s="35" t="s">
        <v>3</v>
      </c>
      <c r="G14" s="21"/>
      <c r="H14" s="36" t="s">
        <v>8</v>
      </c>
      <c r="I14" s="37" t="s">
        <v>5</v>
      </c>
      <c r="J14" s="38" t="s">
        <v>6</v>
      </c>
      <c r="K14" s="39" t="s">
        <v>7</v>
      </c>
      <c r="L14" s="40"/>
      <c r="M14" s="41" t="str">
        <f>'Ark2'!$A$3</f>
        <v>Nulemission</v>
      </c>
      <c r="N14" s="41" t="str">
        <f>'Ark2'!$A$4</f>
        <v>Diesel</v>
      </c>
      <c r="O14" s="43" t="s">
        <v>16</v>
      </c>
    </row>
    <row r="15" spans="1:15" ht="30" customHeight="1" x14ac:dyDescent="0.3">
      <c r="A15" s="143" t="s">
        <v>13</v>
      </c>
      <c r="B15" s="44">
        <f>IF($B$4='Ark2'!$A$3,12,4)</f>
        <v>4</v>
      </c>
      <c r="C15" s="9"/>
      <c r="D15" s="7"/>
      <c r="E15" s="4"/>
      <c r="F15" s="45">
        <f>E15*D15*12</f>
        <v>0</v>
      </c>
      <c r="G15" s="21"/>
      <c r="H15" s="6"/>
      <c r="I15" s="4"/>
      <c r="J15" s="4"/>
      <c r="K15" s="45">
        <f>(I15+J15)*H15</f>
        <v>0</v>
      </c>
      <c r="L15" s="47"/>
      <c r="M15" s="48" t="str">
        <f>IF($B$4='Ark2'!$A$3,$B15*($F15+$K15),"0,00")</f>
        <v>0,00</v>
      </c>
      <c r="N15" s="49">
        <f>IF($B$4='Ark2'!$A$4,$B15*($F15+$K15),"0,00")</f>
        <v>0</v>
      </c>
      <c r="O15" s="50">
        <f t="shared" ref="O15:O17" si="0">M15+N15</f>
        <v>0</v>
      </c>
    </row>
    <row r="16" spans="1:15" ht="15.75" x14ac:dyDescent="0.3">
      <c r="A16" s="143"/>
      <c r="B16" s="44">
        <f>IF($B$4='Ark2'!$A$3,12,4)</f>
        <v>4</v>
      </c>
      <c r="C16" s="9"/>
      <c r="D16" s="7"/>
      <c r="E16" s="4"/>
      <c r="F16" s="45">
        <f>E16*D16*12</f>
        <v>0</v>
      </c>
      <c r="G16" s="21"/>
      <c r="H16" s="6"/>
      <c r="I16" s="4"/>
      <c r="J16" s="4"/>
      <c r="K16" s="45">
        <f>(I16+J16)*H16</f>
        <v>0</v>
      </c>
      <c r="L16" s="47"/>
      <c r="M16" s="48" t="str">
        <f>IF($B$4='Ark2'!$A$3,$B16*($F16+$K16),"0,00")</f>
        <v>0,00</v>
      </c>
      <c r="N16" s="49">
        <f>IF($B$4='Ark2'!$A$4,$B16*($F16+$K16),"0,00")</f>
        <v>0</v>
      </c>
      <c r="O16" s="50">
        <f t="shared" si="0"/>
        <v>0</v>
      </c>
    </row>
    <row r="17" spans="1:15" ht="15.75" x14ac:dyDescent="0.3">
      <c r="A17" s="143"/>
      <c r="B17" s="44">
        <f>IF($B$4='Ark2'!$A$3,12,4)</f>
        <v>4</v>
      </c>
      <c r="C17" s="9"/>
      <c r="D17" s="7"/>
      <c r="E17" s="4"/>
      <c r="F17" s="45">
        <f>E17*D17*12</f>
        <v>0</v>
      </c>
      <c r="G17" s="51"/>
      <c r="H17" s="6"/>
      <c r="I17" s="4"/>
      <c r="J17" s="4"/>
      <c r="K17" s="45">
        <f>(I17+J17)*H17</f>
        <v>0</v>
      </c>
      <c r="L17" s="47"/>
      <c r="M17" s="48" t="str">
        <f>IF($B$4='Ark2'!$A$3,$B17*($F17+$K17),"0,00")</f>
        <v>0,00</v>
      </c>
      <c r="N17" s="49">
        <f>IF($B$4='Ark2'!$A$4,$B17*($F17+$K17),"0,00")</f>
        <v>0</v>
      </c>
      <c r="O17" s="50">
        <f t="shared" si="0"/>
        <v>0</v>
      </c>
    </row>
    <row r="18" spans="1:15" ht="15.75" x14ac:dyDescent="0.3">
      <c r="A18" s="52"/>
      <c r="B18" s="44"/>
      <c r="C18" s="44"/>
      <c r="D18" s="10">
        <f>SUM(D15:D17)</f>
        <v>0</v>
      </c>
      <c r="E18" s="53"/>
      <c r="F18" s="54"/>
      <c r="H18" s="46">
        <f>SUM(H15:H17)</f>
        <v>0</v>
      </c>
      <c r="I18" s="53"/>
      <c r="J18" s="53"/>
      <c r="K18" s="54"/>
      <c r="M18" s="55">
        <f>SUM(M15:M17)</f>
        <v>0</v>
      </c>
      <c r="N18" s="56">
        <f>SUM(N15:N17)</f>
        <v>0</v>
      </c>
      <c r="O18" s="57">
        <f>SUM(O15:O17)</f>
        <v>0</v>
      </c>
    </row>
    <row r="19" spans="1:15" x14ac:dyDescent="0.25">
      <c r="A19" s="52"/>
      <c r="B19" s="58"/>
      <c r="C19" s="58"/>
      <c r="F19" s="54"/>
      <c r="H19" s="59"/>
      <c r="K19" s="54"/>
      <c r="M19" s="55"/>
      <c r="N19" s="57"/>
      <c r="O19" s="60"/>
    </row>
    <row r="20" spans="1:15" ht="48" customHeight="1" x14ac:dyDescent="0.3">
      <c r="A20" s="41" t="s">
        <v>37</v>
      </c>
      <c r="B20" s="32" t="s">
        <v>31</v>
      </c>
      <c r="C20" s="44"/>
      <c r="D20" s="44"/>
      <c r="E20" s="42" t="s">
        <v>28</v>
      </c>
      <c r="F20" s="43" t="s">
        <v>9</v>
      </c>
      <c r="G20" s="40"/>
      <c r="H20" s="137"/>
      <c r="I20" s="138"/>
      <c r="J20" s="138"/>
      <c r="K20" s="139"/>
      <c r="L20" s="23"/>
      <c r="M20" s="61"/>
      <c r="N20" s="62"/>
      <c r="O20" s="63"/>
    </row>
    <row r="21" spans="1:15" ht="15.75" x14ac:dyDescent="0.3">
      <c r="A21" s="41"/>
      <c r="B21" s="44">
        <f>IF($B$4='Ark2'!$A$3,12,4)</f>
        <v>4</v>
      </c>
      <c r="C21" s="44"/>
      <c r="D21" s="53"/>
      <c r="E21" s="4"/>
      <c r="F21" s="45">
        <f>E21*12</f>
        <v>0</v>
      </c>
      <c r="G21" s="40"/>
      <c r="H21" s="64"/>
      <c r="I21" s="65"/>
      <c r="J21" s="66"/>
      <c r="K21" s="67"/>
      <c r="L21" s="40"/>
      <c r="M21" s="68" t="str">
        <f>IF($B$4='Ark2'!$A$3,$B21*($E21+$K21)*12,"0,00")</f>
        <v>0,00</v>
      </c>
      <c r="N21" s="69">
        <f>IF($B$4='Ark2'!$A$4,$B21*($F21+$K21),"0,00")</f>
        <v>0</v>
      </c>
      <c r="O21" s="70">
        <f t="shared" ref="O21" si="1">M21+N21</f>
        <v>0</v>
      </c>
    </row>
    <row r="22" spans="1:15" ht="15.75" x14ac:dyDescent="0.3">
      <c r="A22" s="71"/>
      <c r="C22" s="58"/>
      <c r="F22" s="72"/>
      <c r="G22" s="40"/>
      <c r="H22" s="3"/>
      <c r="I22" s="73"/>
      <c r="J22" s="73"/>
      <c r="K22" s="74"/>
      <c r="L22" s="47"/>
      <c r="M22" s="75"/>
      <c r="N22" s="56"/>
      <c r="O22" s="57"/>
    </row>
    <row r="23" spans="1:15" ht="45" x14ac:dyDescent="0.3">
      <c r="A23" s="42"/>
      <c r="B23" s="32" t="s">
        <v>31</v>
      </c>
      <c r="C23" s="42"/>
      <c r="D23" s="44"/>
      <c r="E23" s="44"/>
      <c r="F23" s="43"/>
      <c r="G23" s="21"/>
      <c r="H23" s="41" t="s">
        <v>18</v>
      </c>
      <c r="I23" s="44" t="s">
        <v>19</v>
      </c>
      <c r="J23" s="76"/>
      <c r="K23" s="43" t="s">
        <v>20</v>
      </c>
      <c r="L23" s="47"/>
      <c r="M23" s="61"/>
      <c r="N23" s="62"/>
      <c r="O23" s="63"/>
    </row>
    <row r="24" spans="1:15" ht="16.5" thickBot="1" x14ac:dyDescent="0.35">
      <c r="A24" s="77" t="s">
        <v>17</v>
      </c>
      <c r="B24" s="44">
        <f>IF($B$4='Ark2'!$A$3,12,4)</f>
        <v>4</v>
      </c>
      <c r="C24" s="78"/>
      <c r="D24" s="78"/>
      <c r="E24" s="78"/>
      <c r="F24" s="2"/>
      <c r="G24" s="1"/>
      <c r="H24" s="79">
        <f>$B$9</f>
        <v>0</v>
      </c>
      <c r="I24" s="5"/>
      <c r="J24" s="80"/>
      <c r="K24" s="45">
        <f>I24*H24</f>
        <v>0</v>
      </c>
      <c r="L24" s="47"/>
      <c r="M24" s="68" t="str">
        <f>IF($B$4='Ark2'!$A$3,$B24*($F24+$K24),"0,00")</f>
        <v>0,00</v>
      </c>
      <c r="N24" s="69">
        <f>IF($B$4='Ark2'!$A$4,$B24*($F24+$K24),"0,00")</f>
        <v>0</v>
      </c>
      <c r="O24" s="81">
        <f t="shared" ref="O24" si="2">M24+N24</f>
        <v>0</v>
      </c>
    </row>
    <row r="25" spans="1:15" ht="20.25" customHeight="1" thickBot="1" x14ac:dyDescent="0.3">
      <c r="A25" s="82" t="s">
        <v>38</v>
      </c>
      <c r="B25" s="83"/>
      <c r="C25" s="83"/>
      <c r="D25" s="83"/>
      <c r="E25" s="83"/>
      <c r="F25" s="84">
        <f>SUM(F15:F17)+F21</f>
        <v>0</v>
      </c>
      <c r="H25" s="85"/>
      <c r="I25" s="83"/>
      <c r="J25" s="83"/>
      <c r="K25" s="86">
        <f>SUM(K15:K17)+K24</f>
        <v>0</v>
      </c>
      <c r="M25" s="87">
        <f>M18+M21+M24</f>
        <v>0</v>
      </c>
      <c r="N25" s="87">
        <f>N18+N21+N24</f>
        <v>0</v>
      </c>
      <c r="O25" s="87">
        <f>O18+O21+O24</f>
        <v>0</v>
      </c>
    </row>
    <row r="26" spans="1:15" ht="15.75" thickBot="1" x14ac:dyDescent="0.3">
      <c r="A26" s="88"/>
      <c r="H26" s="88"/>
      <c r="M26" s="89"/>
      <c r="N26" s="90"/>
      <c r="O26" s="90"/>
    </row>
    <row r="27" spans="1:15" ht="15.75" thickBot="1" x14ac:dyDescent="0.3">
      <c r="A27" s="15" t="str">
        <f>IF($B$4 = 'Ark2'!$A$3, "Option kontraktperiode (Januar 2039-Januar 2041) - 2 år - Nulemission", "Option kontraktperiode (Januar 2031-Januar 2043) - 6*2 år - Diesel")</f>
        <v>Option kontraktperiode (Januar 2031-Januar 2043) - 6*2 år - Diesel</v>
      </c>
      <c r="B27" s="16"/>
      <c r="C27" s="16"/>
      <c r="D27" s="16"/>
      <c r="E27" s="16"/>
      <c r="F27" s="16"/>
      <c r="G27" s="16"/>
      <c r="H27" s="16"/>
      <c r="I27" s="16"/>
      <c r="J27" s="16"/>
      <c r="K27" s="16"/>
      <c r="L27" s="16"/>
      <c r="M27" s="91"/>
      <c r="N27" s="92"/>
      <c r="O27" s="93"/>
    </row>
    <row r="28" spans="1:15" ht="21" customHeight="1" x14ac:dyDescent="0.3">
      <c r="A28" s="20"/>
      <c r="B28" s="21"/>
      <c r="C28" s="21"/>
      <c r="D28" s="144" t="s">
        <v>0</v>
      </c>
      <c r="E28" s="140"/>
      <c r="F28" s="141"/>
      <c r="G28" s="21"/>
      <c r="H28" s="145" t="s">
        <v>4</v>
      </c>
      <c r="I28" s="146"/>
      <c r="J28" s="146"/>
      <c r="K28" s="147"/>
      <c r="L28" s="23"/>
      <c r="M28" s="94"/>
      <c r="N28" s="95" t="s">
        <v>15</v>
      </c>
      <c r="O28" s="96"/>
    </row>
    <row r="29" spans="1:15" ht="105" x14ac:dyDescent="0.3">
      <c r="A29" s="32" t="str">
        <f>A14</f>
        <v>Kerteminde lokal</v>
      </c>
      <c r="B29" s="32" t="s">
        <v>31</v>
      </c>
      <c r="C29" s="33" t="s">
        <v>14</v>
      </c>
      <c r="D29" s="32" t="s">
        <v>1</v>
      </c>
      <c r="E29" s="34" t="s">
        <v>2</v>
      </c>
      <c r="F29" s="35" t="s">
        <v>3</v>
      </c>
      <c r="G29" s="21"/>
      <c r="H29" s="64" t="s">
        <v>8</v>
      </c>
      <c r="I29" s="65" t="s">
        <v>5</v>
      </c>
      <c r="J29" s="66" t="s">
        <v>6</v>
      </c>
      <c r="K29" s="67" t="s">
        <v>7</v>
      </c>
      <c r="L29" s="40"/>
      <c r="M29" s="41" t="str">
        <f>M14</f>
        <v>Nulemission</v>
      </c>
      <c r="N29" s="41" t="str">
        <f>N14</f>
        <v>Diesel</v>
      </c>
      <c r="O29" s="43" t="s">
        <v>16</v>
      </c>
    </row>
    <row r="30" spans="1:15" ht="15.75" x14ac:dyDescent="0.3">
      <c r="A30" s="148" t="s">
        <v>13</v>
      </c>
      <c r="B30" s="44" t="str">
        <f>IF($B$4='Ark2'!$A$3,2,"6*2 år")</f>
        <v>6*2 år</v>
      </c>
      <c r="C30" s="9"/>
      <c r="D30" s="7"/>
      <c r="E30" s="4"/>
      <c r="F30" s="110">
        <f>E30*D30*12</f>
        <v>0</v>
      </c>
      <c r="G30" s="21"/>
      <c r="H30" s="6"/>
      <c r="I30" s="4"/>
      <c r="J30" s="4"/>
      <c r="K30" s="110">
        <f>(I30+J30)*H30</f>
        <v>0</v>
      </c>
      <c r="L30" s="47"/>
      <c r="M30" s="48" t="str">
        <f>IF($B$4='Ark2'!$A$3,$B30*($F30+$K30),"0,00")</f>
        <v>0,00</v>
      </c>
      <c r="N30" s="49">
        <f>IF($B$4='Ark2'!$A$4,(6*2)*($F30+$K30),"0,00")</f>
        <v>0</v>
      </c>
      <c r="O30" s="50">
        <f>M30+N30</f>
        <v>0</v>
      </c>
    </row>
    <row r="31" spans="1:15" ht="15.75" x14ac:dyDescent="0.3">
      <c r="A31" s="148"/>
      <c r="B31" s="44" t="str">
        <f>IF($B$4='Ark2'!$A$3,2,"6*2 år")</f>
        <v>6*2 år</v>
      </c>
      <c r="C31" s="9"/>
      <c r="D31" s="7"/>
      <c r="E31" s="4"/>
      <c r="F31" s="110">
        <f>E31*D31*12</f>
        <v>0</v>
      </c>
      <c r="G31" s="21"/>
      <c r="H31" s="6"/>
      <c r="I31" s="4"/>
      <c r="J31" s="4"/>
      <c r="K31" s="110">
        <f>(I31+J31)*H31</f>
        <v>0</v>
      </c>
      <c r="L31" s="47"/>
      <c r="M31" s="48" t="str">
        <f>IF($B$4='Ark2'!$A$3,$B31*($F31+$K31),"0,00")</f>
        <v>0,00</v>
      </c>
      <c r="N31" s="49">
        <f>IF($B$4='Ark2'!$A$4,(6*2)*($F31+$K31),"0,00")</f>
        <v>0</v>
      </c>
      <c r="O31" s="50">
        <f t="shared" ref="O31:O32" si="3">M31+N31</f>
        <v>0</v>
      </c>
    </row>
    <row r="32" spans="1:15" ht="15.75" x14ac:dyDescent="0.3">
      <c r="A32" s="148"/>
      <c r="B32" s="44" t="str">
        <f>IF($B$4='Ark2'!$A$3,2,"6*2 år")</f>
        <v>6*2 år</v>
      </c>
      <c r="C32" s="9"/>
      <c r="D32" s="7"/>
      <c r="E32" s="4"/>
      <c r="F32" s="110">
        <f>E32*D32*12</f>
        <v>0</v>
      </c>
      <c r="G32" s="51"/>
      <c r="H32" s="6"/>
      <c r="I32" s="4"/>
      <c r="J32" s="4"/>
      <c r="K32" s="110">
        <f>(I32+J32)*H32</f>
        <v>0</v>
      </c>
      <c r="L32" s="47"/>
      <c r="M32" s="48" t="str">
        <f>IF($B$4='Ark2'!$A$3,$B32*($F32+$K32),"0,00")</f>
        <v>0,00</v>
      </c>
      <c r="N32" s="49">
        <f>IF($B$4='Ark2'!$A$4,(6*2)*($F32+$K32),"0,00")</f>
        <v>0</v>
      </c>
      <c r="O32" s="50">
        <f t="shared" si="3"/>
        <v>0</v>
      </c>
    </row>
    <row r="33" spans="1:15" ht="15.75" x14ac:dyDescent="0.3">
      <c r="A33" s="52"/>
      <c r="B33" s="58"/>
      <c r="C33" s="44"/>
      <c r="D33" s="10">
        <f>SUM(D30:D32)</f>
        <v>0</v>
      </c>
      <c r="E33" s="53"/>
      <c r="F33" s="54"/>
      <c r="H33" s="46">
        <f>SUM(H30:H32)</f>
        <v>0</v>
      </c>
      <c r="I33" s="53"/>
      <c r="J33" s="53"/>
      <c r="K33" s="54"/>
      <c r="M33" s="55">
        <f>SUM(M30:M32)</f>
        <v>0</v>
      </c>
      <c r="N33" s="97">
        <f>SUM(N30:N32)</f>
        <v>0</v>
      </c>
      <c r="O33" s="97">
        <f>SUM(O30:O32)</f>
        <v>0</v>
      </c>
    </row>
    <row r="34" spans="1:15" x14ac:dyDescent="0.25">
      <c r="A34" s="52"/>
      <c r="B34" s="58"/>
      <c r="C34" s="58"/>
      <c r="F34" s="54"/>
      <c r="H34" s="59"/>
      <c r="K34" s="54"/>
      <c r="M34" s="55"/>
      <c r="N34" s="57"/>
      <c r="O34" s="60"/>
    </row>
    <row r="35" spans="1:15" ht="45" x14ac:dyDescent="0.3">
      <c r="A35" s="41" t="s">
        <v>37</v>
      </c>
      <c r="B35" s="32" t="s">
        <v>31</v>
      </c>
      <c r="C35" s="44"/>
      <c r="D35" s="44"/>
      <c r="E35" s="42" t="s">
        <v>28</v>
      </c>
      <c r="F35" s="43" t="s">
        <v>9</v>
      </c>
      <c r="G35" s="40"/>
      <c r="H35" s="137"/>
      <c r="I35" s="138"/>
      <c r="J35" s="138"/>
      <c r="K35" s="139"/>
      <c r="L35" s="23"/>
      <c r="M35" s="61"/>
      <c r="N35" s="62"/>
      <c r="O35" s="63"/>
    </row>
    <row r="36" spans="1:15" ht="15.75" x14ac:dyDescent="0.3">
      <c r="A36" s="41"/>
      <c r="B36" s="44" t="str">
        <f>IF($B$4='Ark2'!$A$3,2,"6*2 år")</f>
        <v>6*2 år</v>
      </c>
      <c r="C36" s="44"/>
      <c r="D36" s="53"/>
      <c r="E36" s="4"/>
      <c r="F36" s="45">
        <f>E36*12</f>
        <v>0</v>
      </c>
      <c r="G36" s="40"/>
      <c r="H36" s="64"/>
      <c r="I36" s="65"/>
      <c r="J36" s="66"/>
      <c r="K36" s="67"/>
      <c r="L36" s="40"/>
      <c r="M36" s="68" t="str">
        <f>IF($B$4='Ark2'!$A$3,$B36*($E36+$K36)*12,"0,00")</f>
        <v>0,00</v>
      </c>
      <c r="N36" s="69">
        <f>IF($B$4='Ark2'!$A$4,6*2*($F36+$K36),"0,00")</f>
        <v>0</v>
      </c>
      <c r="O36" s="70">
        <f t="shared" ref="O36" si="4">M36+N36</f>
        <v>0</v>
      </c>
    </row>
    <row r="37" spans="1:15" ht="15.75" x14ac:dyDescent="0.3">
      <c r="A37" s="71"/>
      <c r="C37" s="58"/>
      <c r="F37" s="72"/>
      <c r="G37" s="40"/>
      <c r="H37" s="3"/>
      <c r="I37" s="73"/>
      <c r="J37" s="73"/>
      <c r="K37" s="74"/>
      <c r="L37" s="47"/>
      <c r="M37" s="75"/>
      <c r="N37" s="56"/>
      <c r="O37" s="57"/>
    </row>
    <row r="38" spans="1:15" ht="45" x14ac:dyDescent="0.3">
      <c r="A38" s="41"/>
      <c r="B38" s="32" t="s">
        <v>31</v>
      </c>
      <c r="C38" s="42"/>
      <c r="D38" s="44"/>
      <c r="E38" s="44"/>
      <c r="F38" s="43"/>
      <c r="G38" s="21"/>
      <c r="H38" s="41" t="s">
        <v>18</v>
      </c>
      <c r="I38" s="44" t="s">
        <v>19</v>
      </c>
      <c r="J38" s="73"/>
      <c r="K38" s="43" t="s">
        <v>20</v>
      </c>
      <c r="L38" s="47"/>
      <c r="M38" s="61"/>
      <c r="N38" s="62"/>
      <c r="O38" s="63"/>
    </row>
    <row r="39" spans="1:15" ht="16.5" thickBot="1" x14ac:dyDescent="0.35">
      <c r="A39" s="77" t="s">
        <v>17</v>
      </c>
      <c r="B39" s="44" t="str">
        <f>IF($B$4='Ark2'!$A$3,2,"6*2 år")</f>
        <v>6*2 år</v>
      </c>
      <c r="C39" s="78"/>
      <c r="D39" s="78"/>
      <c r="E39" s="78"/>
      <c r="F39" s="2"/>
      <c r="G39" s="1"/>
      <c r="H39" s="98">
        <f>$B$9</f>
        <v>0</v>
      </c>
      <c r="I39" s="5"/>
      <c r="J39" s="99"/>
      <c r="K39" s="45">
        <f>H39*I39</f>
        <v>0</v>
      </c>
      <c r="L39" s="47"/>
      <c r="M39" s="68" t="str">
        <f>IF($B$4='Ark2'!$A$3,$B39*($F39+$K39),"0")</f>
        <v>0</v>
      </c>
      <c r="N39" s="69">
        <f>IF($B$4='Ark2'!$A$4,6*2*($F39+$K39),"0,00")</f>
        <v>0</v>
      </c>
      <c r="O39" s="81">
        <f t="shared" ref="O39" si="5">M39+N39</f>
        <v>0</v>
      </c>
    </row>
    <row r="40" spans="1:15" ht="15.75" thickBot="1" x14ac:dyDescent="0.3">
      <c r="A40" s="82" t="s">
        <v>38</v>
      </c>
      <c r="B40" s="83"/>
      <c r="C40" s="83"/>
      <c r="D40" s="83"/>
      <c r="E40" s="83"/>
      <c r="F40" s="84">
        <f>SUM(F30:F32)+F36</f>
        <v>0</v>
      </c>
      <c r="H40" s="85"/>
      <c r="I40" s="83"/>
      <c r="J40" s="83"/>
      <c r="K40" s="84">
        <f>SUM(K30:K32)+K39</f>
        <v>0</v>
      </c>
      <c r="M40" s="87">
        <f>M33+M36+M39</f>
        <v>0</v>
      </c>
      <c r="N40" s="87">
        <f>N33+N36+N39</f>
        <v>0</v>
      </c>
      <c r="O40" s="87">
        <f>O33+O36+O39</f>
        <v>0</v>
      </c>
    </row>
    <row r="41" spans="1:15" ht="15.75" thickBot="1" x14ac:dyDescent="0.3">
      <c r="A41" s="88"/>
      <c r="H41" s="88"/>
      <c r="M41" s="89"/>
      <c r="N41" s="90"/>
      <c r="O41" s="90"/>
    </row>
    <row r="42" spans="1:15" ht="15.75" thickBot="1" x14ac:dyDescent="0.3">
      <c r="A42" s="15" t="str">
        <f>IF($B$4 = 'Ark2'!$A$3, "Option kontraktperiode (Januar 2041-Januar 2043) - 2 år - Nulemission", "Skal ikke udfyldes")</f>
        <v>Skal ikke udfyldes</v>
      </c>
      <c r="B42" s="16"/>
      <c r="C42" s="16"/>
      <c r="D42" s="16"/>
      <c r="E42" s="16"/>
      <c r="F42" s="16"/>
      <c r="G42" s="16"/>
      <c r="H42" s="16"/>
      <c r="I42" s="16"/>
      <c r="J42" s="16"/>
      <c r="K42" s="16"/>
      <c r="L42" s="16"/>
      <c r="M42" s="91"/>
      <c r="N42" s="92"/>
      <c r="O42" s="93"/>
    </row>
    <row r="43" spans="1:15" ht="15.75" x14ac:dyDescent="0.3">
      <c r="A43" s="20"/>
      <c r="B43" s="21"/>
      <c r="C43" s="21"/>
      <c r="D43" s="144" t="s">
        <v>0</v>
      </c>
      <c r="E43" s="140"/>
      <c r="F43" s="141"/>
      <c r="G43" s="21"/>
      <c r="H43" s="145" t="s">
        <v>4</v>
      </c>
      <c r="I43" s="146"/>
      <c r="J43" s="146"/>
      <c r="K43" s="147"/>
      <c r="L43" s="23"/>
      <c r="M43" s="94"/>
      <c r="N43" s="95" t="s">
        <v>15</v>
      </c>
      <c r="O43" s="96"/>
    </row>
    <row r="44" spans="1:15" ht="105" x14ac:dyDescent="0.3">
      <c r="A44" s="100" t="str">
        <f>A29</f>
        <v>Kerteminde lokal</v>
      </c>
      <c r="B44" s="32" t="s">
        <v>31</v>
      </c>
      <c r="C44" s="32" t="s">
        <v>14</v>
      </c>
      <c r="D44" s="32" t="s">
        <v>1</v>
      </c>
      <c r="E44" s="34" t="s">
        <v>2</v>
      </c>
      <c r="F44" s="35" t="s">
        <v>3</v>
      </c>
      <c r="G44" s="21"/>
      <c r="H44" s="64" t="s">
        <v>8</v>
      </c>
      <c r="I44" s="65" t="s">
        <v>5</v>
      </c>
      <c r="J44" s="66" t="s">
        <v>6</v>
      </c>
      <c r="K44" s="67" t="s">
        <v>7</v>
      </c>
      <c r="L44" s="40"/>
      <c r="M44" s="101" t="str">
        <f>M29</f>
        <v>Nulemission</v>
      </c>
      <c r="N44" s="101" t="str">
        <f>N29</f>
        <v>Diesel</v>
      </c>
      <c r="O44" s="103" t="s">
        <v>16</v>
      </c>
    </row>
    <row r="45" spans="1:15" ht="15.75" x14ac:dyDescent="0.3">
      <c r="A45" s="148" t="s">
        <v>13</v>
      </c>
      <c r="B45" s="44" t="str">
        <f>IF($B$4='Ark2'!$A$3,2,"")</f>
        <v/>
      </c>
      <c r="C45" s="9"/>
      <c r="D45" s="7"/>
      <c r="E45" s="4"/>
      <c r="F45" s="110" t="str">
        <f>IF($B$4='Ark2'!$A$3,E45*D45*12,"0,00")</f>
        <v>0,00</v>
      </c>
      <c r="G45" s="21"/>
      <c r="H45" s="6"/>
      <c r="I45" s="4"/>
      <c r="J45" s="4"/>
      <c r="K45" s="110" t="str">
        <f>IF($B$4='Ark2'!$A$3,(I45+J45)*H45,"0,00")</f>
        <v>0,00</v>
      </c>
      <c r="L45" s="47"/>
      <c r="M45" s="48" t="str">
        <f>IF($B$45="","0,00",$B45*($F45+$K45))</f>
        <v>0,00</v>
      </c>
      <c r="N45" s="49" t="str">
        <f>IF($B45="","0,00","0,00")</f>
        <v>0,00</v>
      </c>
      <c r="O45" s="50">
        <f>M45+N45</f>
        <v>0</v>
      </c>
    </row>
    <row r="46" spans="1:15" ht="15.75" x14ac:dyDescent="0.3">
      <c r="A46" s="148"/>
      <c r="B46" s="44" t="str">
        <f>IF($B$4='Ark2'!$A$3,2,"")</f>
        <v/>
      </c>
      <c r="C46" s="9"/>
      <c r="D46" s="7"/>
      <c r="E46" s="4"/>
      <c r="F46" s="110" t="str">
        <f>IF($B$4='Ark2'!$A$3,E46*D46*12,"0,00")</f>
        <v>0,00</v>
      </c>
      <c r="G46" s="21"/>
      <c r="H46" s="6"/>
      <c r="I46" s="4"/>
      <c r="J46" s="4"/>
      <c r="K46" s="110" t="str">
        <f>IF($B$4='Ark2'!$A$3,(I46+J46)*H46,"0,00")</f>
        <v>0,00</v>
      </c>
      <c r="L46" s="47"/>
      <c r="M46" s="48" t="str">
        <f>IF($B$46="","0,00",$B46*($F46+$K46))</f>
        <v>0,00</v>
      </c>
      <c r="N46" s="49" t="str">
        <f>IF($B46="","0,00","0,00")</f>
        <v>0,00</v>
      </c>
      <c r="O46" s="50">
        <f t="shared" ref="O46:O47" si="6">M46+N46</f>
        <v>0</v>
      </c>
    </row>
    <row r="47" spans="1:15" ht="15.75" x14ac:dyDescent="0.3">
      <c r="A47" s="148"/>
      <c r="B47" s="44" t="str">
        <f>IF($B$4='Ark2'!$A$3,2,"")</f>
        <v/>
      </c>
      <c r="C47" s="9"/>
      <c r="D47" s="7"/>
      <c r="E47" s="4"/>
      <c r="F47" s="110" t="str">
        <f>IF($B$4='Ark2'!$A$3,E47*D47*12,"0,00")</f>
        <v>0,00</v>
      </c>
      <c r="G47" s="51"/>
      <c r="H47" s="6"/>
      <c r="I47" s="4"/>
      <c r="J47" s="4"/>
      <c r="K47" s="110" t="str">
        <f>IF($B$4='Ark2'!$A$3,(I47+J47)*H47,"0,00")</f>
        <v>0,00</v>
      </c>
      <c r="L47" s="47"/>
      <c r="M47" s="48" t="str">
        <f>IF($B$47="","0,00",$B47*($F47+$K47))</f>
        <v>0,00</v>
      </c>
      <c r="N47" s="49" t="str">
        <f>IF($B47="","0,00","0,00")</f>
        <v>0,00</v>
      </c>
      <c r="O47" s="50">
        <f t="shared" si="6"/>
        <v>0</v>
      </c>
    </row>
    <row r="48" spans="1:15" ht="16.5" customHeight="1" x14ac:dyDescent="0.3">
      <c r="A48" s="52"/>
      <c r="B48" s="58"/>
      <c r="C48" s="44"/>
      <c r="D48" s="10">
        <f>SUM(D45:D47)</f>
        <v>0</v>
      </c>
      <c r="E48" s="53"/>
      <c r="F48" s="54"/>
      <c r="H48" s="46">
        <f>SUM(H45:H47)</f>
        <v>0</v>
      </c>
      <c r="I48" s="53"/>
      <c r="J48" s="53"/>
      <c r="K48" s="54"/>
      <c r="M48" s="75">
        <f>SUM(M45:M47)</f>
        <v>0</v>
      </c>
      <c r="N48" s="56">
        <f>SUM(N45:N47)</f>
        <v>0</v>
      </c>
      <c r="O48" s="57">
        <f>SUM(O45:O47)</f>
        <v>0</v>
      </c>
    </row>
    <row r="49" spans="1:15" x14ac:dyDescent="0.25">
      <c r="A49" s="52"/>
      <c r="B49" s="58"/>
      <c r="C49" s="58"/>
      <c r="F49" s="54"/>
      <c r="H49" s="59"/>
      <c r="K49" s="54"/>
      <c r="M49" s="55"/>
      <c r="N49" s="57"/>
      <c r="O49" s="60"/>
    </row>
    <row r="50" spans="1:15" ht="45" x14ac:dyDescent="0.3">
      <c r="A50" s="41" t="s">
        <v>9</v>
      </c>
      <c r="B50" s="32" t="s">
        <v>31</v>
      </c>
      <c r="C50" s="44"/>
      <c r="D50" s="44"/>
      <c r="E50" s="42" t="s">
        <v>28</v>
      </c>
      <c r="F50" s="43" t="s">
        <v>9</v>
      </c>
      <c r="G50" s="40"/>
      <c r="H50" s="137"/>
      <c r="I50" s="138"/>
      <c r="J50" s="138"/>
      <c r="K50" s="139"/>
      <c r="L50" s="23"/>
      <c r="M50" s="104"/>
      <c r="N50" s="62"/>
      <c r="O50" s="105"/>
    </row>
    <row r="51" spans="1:15" ht="15.75" x14ac:dyDescent="0.3">
      <c r="A51" s="41"/>
      <c r="B51" s="44" t="str">
        <f>IF($B$4='Ark2'!$A$3,2,"")</f>
        <v/>
      </c>
      <c r="C51" s="44"/>
      <c r="D51" s="53"/>
      <c r="E51" s="4"/>
      <c r="F51" s="45" t="str">
        <f>IF($B$4='Ark2'!$A$3,E51*12,"0,00")</f>
        <v>0,00</v>
      </c>
      <c r="G51" s="40"/>
      <c r="H51" s="64"/>
      <c r="I51" s="65"/>
      <c r="J51" s="66"/>
      <c r="K51" s="67"/>
      <c r="L51" s="40"/>
      <c r="M51" s="48" t="str">
        <f>IF($B$51="","0,00",$B51*($F51+$K51))</f>
        <v>0,00</v>
      </c>
      <c r="N51" s="49" t="str">
        <f>IF($B51="","0,00","0,00")</f>
        <v>0,00</v>
      </c>
      <c r="O51" s="106">
        <f t="shared" ref="O51" si="7">M51+N51</f>
        <v>0</v>
      </c>
    </row>
    <row r="52" spans="1:15" ht="15.75" x14ac:dyDescent="0.3">
      <c r="A52" s="71"/>
      <c r="C52" s="58"/>
      <c r="F52" s="72"/>
      <c r="G52" s="40"/>
      <c r="H52" s="3"/>
      <c r="I52" s="73"/>
      <c r="J52" s="73"/>
      <c r="K52" s="74"/>
      <c r="L52" s="47"/>
      <c r="M52" s="75"/>
      <c r="N52" s="56"/>
      <c r="O52" s="57"/>
    </row>
    <row r="53" spans="1:15" ht="54.75" customHeight="1" x14ac:dyDescent="0.3">
      <c r="A53" s="41"/>
      <c r="B53" s="32" t="s">
        <v>31</v>
      </c>
      <c r="C53" s="42"/>
      <c r="D53" s="44"/>
      <c r="E53" s="44"/>
      <c r="F53" s="43"/>
      <c r="G53" s="21"/>
      <c r="H53" s="41" t="s">
        <v>18</v>
      </c>
      <c r="I53" s="44" t="s">
        <v>19</v>
      </c>
      <c r="J53" s="76"/>
      <c r="K53" s="43" t="s">
        <v>20</v>
      </c>
      <c r="L53" s="47"/>
      <c r="M53" s="61"/>
      <c r="N53" s="62"/>
      <c r="O53" s="63"/>
    </row>
    <row r="54" spans="1:15" ht="16.5" thickBot="1" x14ac:dyDescent="0.35">
      <c r="A54" s="77" t="s">
        <v>17</v>
      </c>
      <c r="B54" s="44" t="str">
        <f>IF($B$4='Ark2'!$A$3,2,"")</f>
        <v/>
      </c>
      <c r="C54" s="78"/>
      <c r="D54" s="78"/>
      <c r="E54" s="78"/>
      <c r="F54" s="2"/>
      <c r="G54" s="1"/>
      <c r="H54" s="8">
        <f>$B$9</f>
        <v>0</v>
      </c>
      <c r="I54" s="4"/>
      <c r="J54" s="76"/>
      <c r="K54" s="45" t="str">
        <f>IF($B$4='Ark2'!$A$3,H54*I54,"0,00")</f>
        <v>0,00</v>
      </c>
      <c r="L54" s="47"/>
      <c r="M54" s="48" t="str">
        <f>IF($B$54="","0,00",$B54*($F54+$K54))</f>
        <v>0,00</v>
      </c>
      <c r="N54" s="49" t="str">
        <f>IF($B54="","0,00","0,00")</f>
        <v>0,00</v>
      </c>
      <c r="O54" s="107">
        <f t="shared" ref="O54" si="8">M54+N54</f>
        <v>0</v>
      </c>
    </row>
    <row r="55" spans="1:15" ht="15.75" thickBot="1" x14ac:dyDescent="0.3">
      <c r="A55" s="82" t="s">
        <v>38</v>
      </c>
      <c r="B55" s="83"/>
      <c r="C55" s="83"/>
      <c r="D55" s="83"/>
      <c r="E55" s="83"/>
      <c r="F55" s="84">
        <f>SUM(F45:F47)+F51</f>
        <v>0</v>
      </c>
      <c r="H55" s="85"/>
      <c r="I55" s="83"/>
      <c r="J55" s="83"/>
      <c r="K55" s="84">
        <f>SUM(K45:K47)+K54</f>
        <v>0</v>
      </c>
      <c r="M55" s="87">
        <f>M48+M51+M54</f>
        <v>0</v>
      </c>
      <c r="N55" s="87">
        <f>N48+N51+N54</f>
        <v>0</v>
      </c>
      <c r="O55" s="87">
        <f>O48+O51+O54</f>
        <v>0</v>
      </c>
    </row>
    <row r="56" spans="1:15" x14ac:dyDescent="0.25">
      <c r="A56" s="59"/>
      <c r="M56" s="89"/>
      <c r="N56" s="90"/>
      <c r="O56" s="90"/>
    </row>
    <row r="57" spans="1:15" ht="15.75" thickBot="1" x14ac:dyDescent="0.3">
      <c r="A57" s="59"/>
      <c r="M57" s="89"/>
      <c r="N57" s="90"/>
      <c r="O57" s="90"/>
    </row>
    <row r="58" spans="1:15" ht="15.75" thickBot="1" x14ac:dyDescent="0.3">
      <c r="A58" s="59"/>
      <c r="F58" s="108" t="str">
        <f>IF($B$4="Nulemission",_xlfn.CONCAT("Total ",A14," - ",'Ark2'!$A$3," - 16 år"),_xlfn.CONCAT("Total ",A14," - ",'Ark2'!$A$4," - 4 år + 6*2 år"))</f>
        <v>Total Kerteminde lokal - Diesel - 4 år + 6*2 år</v>
      </c>
      <c r="M58" s="87">
        <f>M55+M40+M25</f>
        <v>0</v>
      </c>
      <c r="N58" s="87">
        <f>N55+N40+N25</f>
        <v>0</v>
      </c>
      <c r="O58" s="87">
        <f>O55+O40+O25</f>
        <v>0</v>
      </c>
    </row>
    <row r="59" spans="1:15" x14ac:dyDescent="0.25">
      <c r="A59" s="59"/>
      <c r="M59" s="109"/>
    </row>
    <row r="60" spans="1:15" x14ac:dyDescent="0.25">
      <c r="A60" s="59"/>
    </row>
    <row r="63" spans="1:15" ht="16.5" customHeight="1" x14ac:dyDescent="0.25"/>
    <row r="66" customFormat="1" ht="15.75" customHeight="1" x14ac:dyDescent="0.25"/>
  </sheetData>
  <sheetProtection algorithmName="SHA-512" hashValue="+d/f9EIgw33764gd3oP8Bn3UhazMqp3w6ULDIKRDXvVvw+eZUElF/cTS0vQtH4zHPLXAqb7nBT041AMeSAa46Q==" saltValue="vMuEBQuamBJcoRLcejdCUA==" spinCount="100000" sheet="1" objects="1" scenarios="1"/>
  <protectedRanges>
    <protectedRange sqref="E21 E36 E51" name="F1_2"/>
    <protectedRange sqref="F52:F53 K53 G23:G24 F22:F23 K23 G38:G39 F37:F38 K38 G53:G54 I24 I39 I54" name="P3 Ø_2"/>
    <protectedRange sqref="E21 E36 E51" name="P3 C_3"/>
    <protectedRange sqref="E30:E32 E45:E47" name="P3 B_1_1"/>
    <protectedRange sqref="I15:I17 I30:I32 I45:I47" name="P3 Ø_1_1"/>
    <protectedRange sqref="J15:J17 J30:J32 J45:J47" name="P3 C_1_1"/>
    <protectedRange sqref="F21" name="F1_1_1"/>
    <protectedRange sqref="F21" name="P3 C_2_1"/>
    <protectedRange sqref="E15:E17" name="P3 B_2"/>
    <protectedRange sqref="F36" name="F1_1_1_1"/>
    <protectedRange sqref="F36" name="P3 C_2_1_1"/>
  </protectedRanges>
  <mergeCells count="13">
    <mergeCell ref="M12:O12"/>
    <mergeCell ref="H50:K50"/>
    <mergeCell ref="D12:F12"/>
    <mergeCell ref="H12:K12"/>
    <mergeCell ref="A15:A17"/>
    <mergeCell ref="H20:K20"/>
    <mergeCell ref="D28:F28"/>
    <mergeCell ref="H28:K28"/>
    <mergeCell ref="A30:A32"/>
    <mergeCell ref="H35:K35"/>
    <mergeCell ref="D43:F43"/>
    <mergeCell ref="H43:K43"/>
    <mergeCell ref="A45:A47"/>
  </mergeCells>
  <conditionalFormatting sqref="H18">
    <cfRule type="cellIs" dxfId="29" priority="5" operator="notEqual">
      <formula>$B$8</formula>
    </cfRule>
    <cfRule type="expression" dxfId="28" priority="6">
      <formula>SUM($H$15:$H$17)=$B$8</formula>
    </cfRule>
  </conditionalFormatting>
  <conditionalFormatting sqref="H33">
    <cfRule type="cellIs" dxfId="27" priority="3" operator="notEqual">
      <formula>$B$8</formula>
    </cfRule>
    <cfRule type="expression" dxfId="26" priority="4">
      <formula>SUM($H$30:$H$32)=$B$8</formula>
    </cfRule>
  </conditionalFormatting>
  <conditionalFormatting sqref="H48">
    <cfRule type="cellIs" dxfId="25" priority="1" operator="notEqual">
      <formula>$B$8</formula>
    </cfRule>
    <cfRule type="expression" dxfId="24" priority="2">
      <formula>SUM($H$45:$H$47)=$B$8</formula>
    </cfRule>
  </conditionalFormatting>
  <pageMargins left="0.23622047244094491" right="0.23622047244094491" top="0.94488188976377963" bottom="0.74803149606299213" header="0.31496062992125984" footer="0.31496062992125984"/>
  <pageSetup paperSize="9" scale="33" orientation="portrait" r:id="rId1"/>
  <headerFooter>
    <oddHeader xml:space="preserve">&amp;L&amp;10FynBus, 9. februar 2024 
Udbud af emissionsfri buskørsel i Svendborg By
J.nr. 202311-40216 </oddHeader>
  </headerFooter>
  <rowBreaks count="1" manualBreakCount="1">
    <brk id="59" max="16"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82ED1E8-D41D-4780-AD8C-7B8D05BC507B}">
          <x14:formula1>
            <xm:f>'Ark2'!$E$2:$E$5</xm:f>
          </x14:formula1>
          <xm:sqref>C15:C17 C30:C32 C45:C47</xm:sqref>
        </x14:dataValidation>
        <x14:dataValidation type="list" allowBlank="1" showInputMessage="1" showErrorMessage="1" xr:uid="{1BA803D1-DB1A-453A-B551-0B68E4E87015}">
          <x14:formula1>
            <xm:f>'Ark2'!$A$2:$A$4</xm:f>
          </x14:formula1>
          <xm:sqref>B4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5DA92-4B9D-49CA-AA84-5617F7142DCE}">
  <dimension ref="A1:O66"/>
  <sheetViews>
    <sheetView zoomScale="86" zoomScaleNormal="86" zoomScaleSheetLayoutView="100" workbookViewId="0">
      <selection activeCell="B4" sqref="B4"/>
    </sheetView>
  </sheetViews>
  <sheetFormatPr defaultRowHeight="15" x14ac:dyDescent="0.25"/>
  <cols>
    <col min="1" max="1" width="33.85546875" customWidth="1"/>
    <col min="2" max="2" width="18.42578125" customWidth="1"/>
    <col min="3" max="4" width="19" customWidth="1"/>
    <col min="5" max="5" width="14.28515625" customWidth="1"/>
    <col min="6" max="6" width="21.140625" customWidth="1"/>
    <col min="7" max="7" width="11.7109375" customWidth="1"/>
    <col min="8" max="8" width="10.5703125" customWidth="1"/>
    <col min="9" max="9" width="14.5703125" customWidth="1"/>
    <col min="11" max="11" width="19.5703125" customWidth="1"/>
    <col min="12" max="12" width="11.7109375" customWidth="1"/>
    <col min="13" max="13" width="20.85546875" customWidth="1"/>
    <col min="14" max="14" width="17.28515625" customWidth="1"/>
    <col min="15" max="15" width="24.5703125" customWidth="1"/>
    <col min="16" max="16" width="21.85546875" customWidth="1"/>
    <col min="18" max="18" width="20.42578125" customWidth="1"/>
  </cols>
  <sheetData>
    <row r="1" spans="1:15" ht="33" customHeight="1" x14ac:dyDescent="0.25">
      <c r="A1" s="11" t="str">
        <f>_xlfn.CONCAT("Tilbudsskema - Fælles udbud - pakke 1 - Delkontrakt 3 - ", A14)</f>
        <v>Tilbudsskema - Fælles udbud - pakke 1 - Delkontrakt 3 - Nordfyns lokal</v>
      </c>
      <c r="B1" s="11"/>
      <c r="C1" s="11"/>
      <c r="D1" s="11"/>
    </row>
    <row r="2" spans="1:15" ht="141.75" customHeight="1" x14ac:dyDescent="0.25">
      <c r="A2" s="12"/>
      <c r="B2" s="12"/>
      <c r="C2" s="12"/>
      <c r="D2" s="12"/>
    </row>
    <row r="3" spans="1:15" ht="232.5" customHeight="1" x14ac:dyDescent="0.25">
      <c r="A3" s="12"/>
      <c r="B3" s="12"/>
      <c r="C3" s="12"/>
      <c r="D3" s="12"/>
    </row>
    <row r="4" spans="1:15" ht="16.5" customHeight="1" x14ac:dyDescent="0.25">
      <c r="A4" s="13" t="s">
        <v>10</v>
      </c>
      <c r="B4" s="127" t="s">
        <v>11</v>
      </c>
      <c r="C4" s="12"/>
      <c r="D4" s="12"/>
    </row>
    <row r="5" spans="1:15" ht="19.5" customHeight="1" x14ac:dyDescent="0.25">
      <c r="A5" s="12"/>
      <c r="B5" s="12"/>
      <c r="C5" s="12"/>
      <c r="D5" s="12"/>
    </row>
    <row r="6" spans="1:15" ht="19.5" customHeight="1" x14ac:dyDescent="0.25">
      <c r="A6" s="12" t="s">
        <v>32</v>
      </c>
      <c r="B6" s="12"/>
      <c r="C6" s="12"/>
      <c r="D6" s="12"/>
    </row>
    <row r="7" spans="1:15" ht="19.5" customHeight="1" x14ac:dyDescent="0.25">
      <c r="A7" s="12" t="s">
        <v>33</v>
      </c>
      <c r="B7" s="12">
        <v>22</v>
      </c>
      <c r="C7" s="12"/>
      <c r="D7" s="12"/>
    </row>
    <row r="8" spans="1:15" ht="19.5" customHeight="1" x14ac:dyDescent="0.25">
      <c r="A8" s="12" t="s">
        <v>34</v>
      </c>
      <c r="B8" s="14">
        <v>11548</v>
      </c>
      <c r="C8" s="12"/>
      <c r="D8" s="12"/>
    </row>
    <row r="9" spans="1:15" ht="19.5" customHeight="1" x14ac:dyDescent="0.25">
      <c r="A9" s="12" t="s">
        <v>36</v>
      </c>
      <c r="B9" s="14">
        <v>0</v>
      </c>
      <c r="C9" s="12"/>
      <c r="D9" s="12"/>
    </row>
    <row r="10" spans="1:15" ht="19.5" customHeight="1" thickBot="1" x14ac:dyDescent="0.3">
      <c r="A10" s="12"/>
      <c r="B10" s="12"/>
      <c r="C10" s="12"/>
      <c r="D10" s="12"/>
    </row>
    <row r="11" spans="1:15" ht="15.75" thickBot="1" x14ac:dyDescent="0.3">
      <c r="A11" s="15" t="str">
        <f>IF($B$4 = 'Ark2'!$A$3, "Ordinær kontraktperiode (Januar 2027-Januar 2039) - 12 år - Nulemission", "Ordinær kontraktperiode (Januar 2027-Januar 2031) - 4 år - Diesel")</f>
        <v>Ordinær kontraktperiode (Januar 2027-Januar 2031) - 4 år - Diesel</v>
      </c>
      <c r="B11" s="16"/>
      <c r="C11" s="16"/>
      <c r="D11" s="16"/>
      <c r="E11" s="16"/>
      <c r="F11" s="16"/>
      <c r="G11" s="16"/>
      <c r="H11" s="16"/>
      <c r="I11" s="16"/>
      <c r="J11" s="16"/>
      <c r="K11" s="16"/>
      <c r="L11" s="16"/>
      <c r="M11" s="17"/>
      <c r="N11" s="18"/>
      <c r="O11" s="19"/>
    </row>
    <row r="12" spans="1:15" ht="20.25" customHeight="1" x14ac:dyDescent="0.3">
      <c r="A12" s="20"/>
      <c r="B12" s="21"/>
      <c r="C12" s="22"/>
      <c r="D12" s="140" t="s">
        <v>0</v>
      </c>
      <c r="E12" s="140"/>
      <c r="F12" s="141"/>
      <c r="G12" s="21"/>
      <c r="H12" s="142" t="s">
        <v>4</v>
      </c>
      <c r="I12" s="140"/>
      <c r="J12" s="140"/>
      <c r="K12" s="141"/>
      <c r="L12" s="23"/>
      <c r="M12" s="134" t="s">
        <v>15</v>
      </c>
      <c r="N12" s="135"/>
      <c r="O12" s="136"/>
    </row>
    <row r="13" spans="1:15" ht="16.5" thickBot="1" x14ac:dyDescent="0.35">
      <c r="A13" s="21"/>
      <c r="B13" s="21"/>
      <c r="C13" s="27"/>
      <c r="D13" s="21"/>
      <c r="E13" s="28"/>
      <c r="F13" s="29"/>
      <c r="G13" s="21"/>
      <c r="H13" s="30"/>
      <c r="I13" s="23"/>
      <c r="J13" s="23"/>
      <c r="K13" s="31"/>
      <c r="L13" s="23"/>
      <c r="M13" s="24"/>
      <c r="N13" s="25"/>
      <c r="O13" s="26"/>
    </row>
    <row r="14" spans="1:15" ht="105" x14ac:dyDescent="0.3">
      <c r="A14" s="32" t="s">
        <v>24</v>
      </c>
      <c r="B14" s="32" t="s">
        <v>31</v>
      </c>
      <c r="C14" s="33" t="s">
        <v>14</v>
      </c>
      <c r="D14" s="32" t="s">
        <v>1</v>
      </c>
      <c r="E14" s="34" t="s">
        <v>2</v>
      </c>
      <c r="F14" s="35" t="s">
        <v>3</v>
      </c>
      <c r="G14" s="21"/>
      <c r="H14" s="36" t="s">
        <v>8</v>
      </c>
      <c r="I14" s="37" t="s">
        <v>5</v>
      </c>
      <c r="J14" s="38" t="s">
        <v>6</v>
      </c>
      <c r="K14" s="39" t="s">
        <v>7</v>
      </c>
      <c r="L14" s="40"/>
      <c r="M14" s="41" t="str">
        <f>'Ark2'!$A$3</f>
        <v>Nulemission</v>
      </c>
      <c r="N14" s="41" t="str">
        <f>'Ark2'!$A$4</f>
        <v>Diesel</v>
      </c>
      <c r="O14" s="43" t="s">
        <v>16</v>
      </c>
    </row>
    <row r="15" spans="1:15" ht="30" customHeight="1" x14ac:dyDescent="0.3">
      <c r="A15" s="143" t="s">
        <v>13</v>
      </c>
      <c r="B15" s="44">
        <f>IF($B$4='Ark2'!$A$3,12,4)</f>
        <v>4</v>
      </c>
      <c r="C15" s="9"/>
      <c r="D15" s="7"/>
      <c r="E15" s="4"/>
      <c r="F15" s="45">
        <f>E15*D15*12</f>
        <v>0</v>
      </c>
      <c r="G15" s="21"/>
      <c r="H15" s="6"/>
      <c r="I15" s="4"/>
      <c r="J15" s="4"/>
      <c r="K15" s="45">
        <f>(I15+J15)*H15</f>
        <v>0</v>
      </c>
      <c r="L15" s="47"/>
      <c r="M15" s="48" t="str">
        <f>IF($B$4='Ark2'!$A$3,$B15*($F15+$K15),"0,00")</f>
        <v>0,00</v>
      </c>
      <c r="N15" s="49">
        <f>IF($B$4='Ark2'!$A$4,$B15*($F15+$K15),"0,00")</f>
        <v>0</v>
      </c>
      <c r="O15" s="50">
        <f t="shared" ref="O15:O17" si="0">M15+N15</f>
        <v>0</v>
      </c>
    </row>
    <row r="16" spans="1:15" ht="15.75" x14ac:dyDescent="0.3">
      <c r="A16" s="143"/>
      <c r="B16" s="44">
        <f>IF($B$4='Ark2'!$A$3,12,4)</f>
        <v>4</v>
      </c>
      <c r="C16" s="9"/>
      <c r="D16" s="7"/>
      <c r="E16" s="4"/>
      <c r="F16" s="45">
        <f>E16*D16*12</f>
        <v>0</v>
      </c>
      <c r="G16" s="21"/>
      <c r="H16" s="6"/>
      <c r="I16" s="4"/>
      <c r="J16" s="4"/>
      <c r="K16" s="45">
        <f t="shared" ref="K16:K17" si="1">(I16+J16)*H16</f>
        <v>0</v>
      </c>
      <c r="L16" s="47"/>
      <c r="M16" s="48" t="str">
        <f>IF($B$4='Ark2'!$A$3,$B16*($F16+$K16),"0,00")</f>
        <v>0,00</v>
      </c>
      <c r="N16" s="49">
        <f>IF($B$4='Ark2'!$A$4,$B16*($F16+$K16),"0,00")</f>
        <v>0</v>
      </c>
      <c r="O16" s="50">
        <f t="shared" si="0"/>
        <v>0</v>
      </c>
    </row>
    <row r="17" spans="1:15" ht="15.75" x14ac:dyDescent="0.3">
      <c r="A17" s="143"/>
      <c r="B17" s="44">
        <f>IF($B$4='Ark2'!$A$3,12,4)</f>
        <v>4</v>
      </c>
      <c r="C17" s="9"/>
      <c r="D17" s="7"/>
      <c r="E17" s="4"/>
      <c r="F17" s="45">
        <f>E17*D17*12</f>
        <v>0</v>
      </c>
      <c r="G17" s="51"/>
      <c r="H17" s="6"/>
      <c r="I17" s="4"/>
      <c r="J17" s="4"/>
      <c r="K17" s="45">
        <f t="shared" si="1"/>
        <v>0</v>
      </c>
      <c r="L17" s="47"/>
      <c r="M17" s="48" t="str">
        <f>IF($B$4='Ark2'!$A$3,$B17*($F17+$K17),"0,00")</f>
        <v>0,00</v>
      </c>
      <c r="N17" s="49">
        <f>IF($B$4='Ark2'!$A$4,$B17*($F17+$K17),"0,00")</f>
        <v>0</v>
      </c>
      <c r="O17" s="50">
        <f t="shared" si="0"/>
        <v>0</v>
      </c>
    </row>
    <row r="18" spans="1:15" ht="15.75" x14ac:dyDescent="0.3">
      <c r="A18" s="52"/>
      <c r="B18" s="44"/>
      <c r="C18" s="44"/>
      <c r="D18" s="10">
        <f>SUM(D15:D17)</f>
        <v>0</v>
      </c>
      <c r="E18" s="53"/>
      <c r="F18" s="54"/>
      <c r="H18" s="46">
        <f>SUM(H15:H17)</f>
        <v>0</v>
      </c>
      <c r="I18" s="53"/>
      <c r="J18" s="53"/>
      <c r="K18" s="54"/>
      <c r="M18" s="55">
        <f>SUM(M15:M17)</f>
        <v>0</v>
      </c>
      <c r="N18" s="56">
        <f>SUM(N15:N17)</f>
        <v>0</v>
      </c>
      <c r="O18" s="57">
        <f>SUM(O15:O17)</f>
        <v>0</v>
      </c>
    </row>
    <row r="19" spans="1:15" x14ac:dyDescent="0.25">
      <c r="A19" s="52"/>
      <c r="B19" s="58"/>
      <c r="C19" s="58"/>
      <c r="F19" s="54"/>
      <c r="H19" s="59"/>
      <c r="K19" s="54"/>
      <c r="M19" s="55"/>
      <c r="N19" s="57"/>
      <c r="O19" s="60"/>
    </row>
    <row r="20" spans="1:15" ht="48" customHeight="1" x14ac:dyDescent="0.3">
      <c r="A20" s="41" t="s">
        <v>37</v>
      </c>
      <c r="B20" s="32" t="s">
        <v>31</v>
      </c>
      <c r="C20" s="44"/>
      <c r="D20" s="44"/>
      <c r="E20" s="42" t="s">
        <v>28</v>
      </c>
      <c r="F20" s="43" t="s">
        <v>9</v>
      </c>
      <c r="G20" s="40"/>
      <c r="H20" s="137"/>
      <c r="I20" s="138"/>
      <c r="J20" s="138"/>
      <c r="K20" s="139"/>
      <c r="L20" s="23"/>
      <c r="M20" s="61"/>
      <c r="N20" s="62"/>
      <c r="O20" s="63"/>
    </row>
    <row r="21" spans="1:15" ht="15.75" x14ac:dyDescent="0.3">
      <c r="A21" s="41"/>
      <c r="B21" s="44">
        <f>IF($B$4='Ark2'!$A$3,12,4)</f>
        <v>4</v>
      </c>
      <c r="C21" s="44"/>
      <c r="D21" s="53"/>
      <c r="E21" s="4"/>
      <c r="F21" s="45">
        <f>E21*12</f>
        <v>0</v>
      </c>
      <c r="G21" s="40"/>
      <c r="H21" s="64"/>
      <c r="I21" s="65"/>
      <c r="J21" s="66"/>
      <c r="K21" s="67"/>
      <c r="L21" s="40"/>
      <c r="M21" s="68" t="str">
        <f>IF($B$4='Ark2'!$A$3,$B21*($E21+$K21)*12,"0,00")</f>
        <v>0,00</v>
      </c>
      <c r="N21" s="69">
        <f>IF($B$4='Ark2'!$A$4,$B21*($F21+$K21),"0,00")</f>
        <v>0</v>
      </c>
      <c r="O21" s="70">
        <f t="shared" ref="O21" si="2">M21+N21</f>
        <v>0</v>
      </c>
    </row>
    <row r="22" spans="1:15" ht="15.75" x14ac:dyDescent="0.3">
      <c r="A22" s="71"/>
      <c r="C22" s="58"/>
      <c r="F22" s="72"/>
      <c r="G22" s="40"/>
      <c r="H22" s="3"/>
      <c r="I22" s="73"/>
      <c r="J22" s="73"/>
      <c r="K22" s="74"/>
      <c r="L22" s="47"/>
      <c r="M22" s="75"/>
      <c r="N22" s="56"/>
      <c r="O22" s="57"/>
    </row>
    <row r="23" spans="1:15" ht="45" x14ac:dyDescent="0.3">
      <c r="A23" s="42"/>
      <c r="B23" s="32" t="s">
        <v>31</v>
      </c>
      <c r="C23" s="42"/>
      <c r="D23" s="44"/>
      <c r="E23" s="44"/>
      <c r="F23" s="43"/>
      <c r="G23" s="21"/>
      <c r="H23" s="41" t="s">
        <v>18</v>
      </c>
      <c r="I23" s="44" t="s">
        <v>19</v>
      </c>
      <c r="J23" s="76"/>
      <c r="K23" s="43" t="s">
        <v>20</v>
      </c>
      <c r="L23" s="47"/>
      <c r="M23" s="61"/>
      <c r="N23" s="62"/>
      <c r="O23" s="63"/>
    </row>
    <row r="24" spans="1:15" ht="16.5" thickBot="1" x14ac:dyDescent="0.35">
      <c r="A24" s="77" t="s">
        <v>17</v>
      </c>
      <c r="B24" s="44">
        <f>IF($B$4='Ark2'!$A$3,12,4)</f>
        <v>4</v>
      </c>
      <c r="C24" s="78"/>
      <c r="D24" s="78"/>
      <c r="E24" s="78"/>
      <c r="F24" s="2"/>
      <c r="G24" s="1"/>
      <c r="H24" s="79">
        <f>$B$9</f>
        <v>0</v>
      </c>
      <c r="I24" s="5"/>
      <c r="J24" s="80"/>
      <c r="K24" s="45">
        <f>I24*H24</f>
        <v>0</v>
      </c>
      <c r="L24" s="47"/>
      <c r="M24" s="68" t="str">
        <f>IF($B$4='Ark2'!$A$3,$B24*($F24+$K24),"0,00")</f>
        <v>0,00</v>
      </c>
      <c r="N24" s="69">
        <f>IF($B$4='Ark2'!$A$4,$B24*($F24+$K24),"0,00")</f>
        <v>0</v>
      </c>
      <c r="O24" s="81">
        <f t="shared" ref="O24" si="3">M24+N24</f>
        <v>0</v>
      </c>
    </row>
    <row r="25" spans="1:15" ht="20.25" customHeight="1" thickBot="1" x14ac:dyDescent="0.3">
      <c r="A25" s="82" t="s">
        <v>38</v>
      </c>
      <c r="B25" s="83"/>
      <c r="C25" s="83"/>
      <c r="D25" s="83"/>
      <c r="E25" s="83"/>
      <c r="F25" s="84">
        <f>SUM(F15:F17)+F21</f>
        <v>0</v>
      </c>
      <c r="H25" s="85"/>
      <c r="I25" s="83"/>
      <c r="J25" s="83"/>
      <c r="K25" s="86">
        <f>SUM(K15:K17)+K24</f>
        <v>0</v>
      </c>
      <c r="M25" s="87">
        <f>M18+M21+M24</f>
        <v>0</v>
      </c>
      <c r="N25" s="87">
        <f>N18+N21+N24</f>
        <v>0</v>
      </c>
      <c r="O25" s="87">
        <f>O18+O21+O24</f>
        <v>0</v>
      </c>
    </row>
    <row r="26" spans="1:15" ht="15.75" thickBot="1" x14ac:dyDescent="0.3">
      <c r="A26" s="88"/>
      <c r="H26" s="88"/>
      <c r="M26" s="89"/>
      <c r="N26" s="90"/>
      <c r="O26" s="90"/>
    </row>
    <row r="27" spans="1:15" ht="15.75" thickBot="1" x14ac:dyDescent="0.3">
      <c r="A27" s="15" t="str">
        <f>IF($B$4 = 'Ark2'!$A$3, "Option kontraktperiode (Januar 2039-Januar 2041) - 2 år - Nulemission", "Option kontraktperiode (Januar 2031-Januar 2043) - 6*2 år - Diesel")</f>
        <v>Option kontraktperiode (Januar 2031-Januar 2043) - 6*2 år - Diesel</v>
      </c>
      <c r="B27" s="16"/>
      <c r="C27" s="16"/>
      <c r="D27" s="16"/>
      <c r="E27" s="16"/>
      <c r="F27" s="16"/>
      <c r="G27" s="16"/>
      <c r="H27" s="16"/>
      <c r="I27" s="16"/>
      <c r="J27" s="16"/>
      <c r="K27" s="16"/>
      <c r="L27" s="16"/>
      <c r="M27" s="91"/>
      <c r="N27" s="92"/>
      <c r="O27" s="93"/>
    </row>
    <row r="28" spans="1:15" ht="21" customHeight="1" x14ac:dyDescent="0.3">
      <c r="A28" s="20"/>
      <c r="B28" s="21"/>
      <c r="C28" s="21"/>
      <c r="D28" s="144" t="s">
        <v>0</v>
      </c>
      <c r="E28" s="140"/>
      <c r="F28" s="141"/>
      <c r="G28" s="21"/>
      <c r="H28" s="145" t="s">
        <v>4</v>
      </c>
      <c r="I28" s="146"/>
      <c r="J28" s="146"/>
      <c r="K28" s="147"/>
      <c r="L28" s="23"/>
      <c r="M28" s="94"/>
      <c r="N28" s="95" t="s">
        <v>15</v>
      </c>
      <c r="O28" s="96"/>
    </row>
    <row r="29" spans="1:15" ht="105" x14ac:dyDescent="0.3">
      <c r="A29" s="32" t="str">
        <f>A14</f>
        <v>Nordfyns lokal</v>
      </c>
      <c r="B29" s="32" t="s">
        <v>31</v>
      </c>
      <c r="C29" s="33" t="s">
        <v>14</v>
      </c>
      <c r="D29" s="32" t="s">
        <v>1</v>
      </c>
      <c r="E29" s="34" t="s">
        <v>2</v>
      </c>
      <c r="F29" s="35" t="s">
        <v>3</v>
      </c>
      <c r="G29" s="21"/>
      <c r="H29" s="64" t="s">
        <v>8</v>
      </c>
      <c r="I29" s="65" t="s">
        <v>5</v>
      </c>
      <c r="J29" s="66" t="s">
        <v>6</v>
      </c>
      <c r="K29" s="67" t="s">
        <v>7</v>
      </c>
      <c r="L29" s="40"/>
      <c r="M29" s="41" t="str">
        <f>M14</f>
        <v>Nulemission</v>
      </c>
      <c r="N29" s="41" t="str">
        <f>N14</f>
        <v>Diesel</v>
      </c>
      <c r="O29" s="43" t="s">
        <v>16</v>
      </c>
    </row>
    <row r="30" spans="1:15" ht="15.75" x14ac:dyDescent="0.3">
      <c r="A30" s="148" t="s">
        <v>13</v>
      </c>
      <c r="B30" s="44" t="str">
        <f>IF($B$4='Ark2'!$A$3,2,"6*2 år")</f>
        <v>6*2 år</v>
      </c>
      <c r="C30" s="9"/>
      <c r="D30" s="7"/>
      <c r="E30" s="4"/>
      <c r="F30" s="110">
        <f>E30*D30*12</f>
        <v>0</v>
      </c>
      <c r="G30" s="21"/>
      <c r="H30" s="6"/>
      <c r="I30" s="4"/>
      <c r="J30" s="4"/>
      <c r="K30" s="110">
        <f>(I30+J30)*H30</f>
        <v>0</v>
      </c>
      <c r="L30" s="47"/>
      <c r="M30" s="48" t="str">
        <f>IF($B$4='Ark2'!$A$3,$B30*($F30+$K30),"0,00")</f>
        <v>0,00</v>
      </c>
      <c r="N30" s="49">
        <f>IF($B$4='Ark2'!$A$4,(6*2)*($F30+$K30),"0,00")</f>
        <v>0</v>
      </c>
      <c r="O30" s="50">
        <f>M30+N30</f>
        <v>0</v>
      </c>
    </row>
    <row r="31" spans="1:15" ht="15.75" x14ac:dyDescent="0.3">
      <c r="A31" s="148"/>
      <c r="B31" s="44" t="str">
        <f>IF($B$4='Ark2'!$A$3,2,"6*2 år")</f>
        <v>6*2 år</v>
      </c>
      <c r="C31" s="9"/>
      <c r="D31" s="7"/>
      <c r="E31" s="4"/>
      <c r="F31" s="110">
        <f>E31*D31*12</f>
        <v>0</v>
      </c>
      <c r="G31" s="21"/>
      <c r="H31" s="6"/>
      <c r="I31" s="4"/>
      <c r="J31" s="4"/>
      <c r="K31" s="110">
        <f>(I31+J31)*H31</f>
        <v>0</v>
      </c>
      <c r="L31" s="47"/>
      <c r="M31" s="48" t="str">
        <f>IF($B$4='Ark2'!$A$3,$B31*($F31+$K31),"0,00")</f>
        <v>0,00</v>
      </c>
      <c r="N31" s="49">
        <f>IF($B$4='Ark2'!$A$4,(6*2)*($F31+$K31),"0,00")</f>
        <v>0</v>
      </c>
      <c r="O31" s="50">
        <f t="shared" ref="O31:O32" si="4">M31+N31</f>
        <v>0</v>
      </c>
    </row>
    <row r="32" spans="1:15" ht="15.75" x14ac:dyDescent="0.3">
      <c r="A32" s="148"/>
      <c r="B32" s="44" t="str">
        <f>IF($B$4='Ark2'!$A$3,2,"6*2 år")</f>
        <v>6*2 år</v>
      </c>
      <c r="C32" s="9"/>
      <c r="D32" s="7"/>
      <c r="E32" s="4"/>
      <c r="F32" s="110">
        <f>E32*D32*12</f>
        <v>0</v>
      </c>
      <c r="G32" s="51"/>
      <c r="H32" s="6"/>
      <c r="I32" s="4"/>
      <c r="J32" s="4"/>
      <c r="K32" s="110">
        <f>(I32+J32)*H32</f>
        <v>0</v>
      </c>
      <c r="L32" s="47"/>
      <c r="M32" s="48" t="str">
        <f>IF($B$4='Ark2'!$A$3,$B32*($F32+$K32),"0,00")</f>
        <v>0,00</v>
      </c>
      <c r="N32" s="49">
        <f>IF($B$4='Ark2'!$A$4,(6*2)*($F32+$K32),"0,00")</f>
        <v>0</v>
      </c>
      <c r="O32" s="50">
        <f t="shared" si="4"/>
        <v>0</v>
      </c>
    </row>
    <row r="33" spans="1:15" ht="15.75" x14ac:dyDescent="0.3">
      <c r="A33" s="52"/>
      <c r="B33" s="58"/>
      <c r="C33" s="44"/>
      <c r="D33" s="10">
        <f>SUM(D30:D32)</f>
        <v>0</v>
      </c>
      <c r="E33" s="53"/>
      <c r="F33" s="54"/>
      <c r="H33" s="46">
        <f>SUM(H30:H32)</f>
        <v>0</v>
      </c>
      <c r="I33" s="53"/>
      <c r="J33" s="53"/>
      <c r="K33" s="54"/>
      <c r="M33" s="55">
        <f>SUM(M30:M32)</f>
        <v>0</v>
      </c>
      <c r="N33" s="97">
        <f>SUM(N30:N32)</f>
        <v>0</v>
      </c>
      <c r="O33" s="97">
        <f>SUM(O30:O32)</f>
        <v>0</v>
      </c>
    </row>
    <row r="34" spans="1:15" x14ac:dyDescent="0.25">
      <c r="A34" s="52"/>
      <c r="B34" s="58"/>
      <c r="C34" s="58"/>
      <c r="F34" s="54"/>
      <c r="H34" s="59"/>
      <c r="K34" s="54"/>
      <c r="M34" s="55"/>
      <c r="N34" s="57"/>
      <c r="O34" s="60"/>
    </row>
    <row r="35" spans="1:15" ht="45" x14ac:dyDescent="0.3">
      <c r="A35" s="41" t="s">
        <v>37</v>
      </c>
      <c r="B35" s="32" t="s">
        <v>31</v>
      </c>
      <c r="C35" s="44"/>
      <c r="D35" s="44"/>
      <c r="E35" s="42" t="s">
        <v>28</v>
      </c>
      <c r="F35" s="43" t="s">
        <v>9</v>
      </c>
      <c r="G35" s="40"/>
      <c r="H35" s="137"/>
      <c r="I35" s="138"/>
      <c r="J35" s="138"/>
      <c r="K35" s="139"/>
      <c r="L35" s="23"/>
      <c r="M35" s="61"/>
      <c r="N35" s="62"/>
      <c r="O35" s="63"/>
    </row>
    <row r="36" spans="1:15" ht="15.75" x14ac:dyDescent="0.3">
      <c r="A36" s="41"/>
      <c r="B36" s="44" t="str">
        <f>IF($B$4='Ark2'!$A$3,2,"6*2 år")</f>
        <v>6*2 år</v>
      </c>
      <c r="C36" s="44"/>
      <c r="D36" s="53"/>
      <c r="E36" s="4"/>
      <c r="F36" s="45">
        <f>E36*12</f>
        <v>0</v>
      </c>
      <c r="G36" s="40"/>
      <c r="H36" s="64"/>
      <c r="I36" s="65"/>
      <c r="J36" s="66"/>
      <c r="K36" s="67"/>
      <c r="L36" s="40"/>
      <c r="M36" s="68" t="str">
        <f>IF($B$4='Ark2'!$A$3,$B36*($E36+$K36)*12,"0,00")</f>
        <v>0,00</v>
      </c>
      <c r="N36" s="69">
        <f>IF($B$4='Ark2'!$A$4,6*2*($F36+$K36),"0,00")</f>
        <v>0</v>
      </c>
      <c r="O36" s="70">
        <f t="shared" ref="O36" si="5">M36+N36</f>
        <v>0</v>
      </c>
    </row>
    <row r="37" spans="1:15" ht="15.75" x14ac:dyDescent="0.3">
      <c r="A37" s="71"/>
      <c r="C37" s="58"/>
      <c r="F37" s="72"/>
      <c r="G37" s="40"/>
      <c r="H37" s="3"/>
      <c r="I37" s="73"/>
      <c r="J37" s="73"/>
      <c r="K37" s="74"/>
      <c r="L37" s="47"/>
      <c r="M37" s="75"/>
      <c r="N37" s="56"/>
      <c r="O37" s="57"/>
    </row>
    <row r="38" spans="1:15" ht="45" x14ac:dyDescent="0.3">
      <c r="A38" s="41"/>
      <c r="B38" s="32" t="s">
        <v>31</v>
      </c>
      <c r="C38" s="42"/>
      <c r="D38" s="44"/>
      <c r="E38" s="44"/>
      <c r="F38" s="43"/>
      <c r="G38" s="21"/>
      <c r="H38" s="41" t="s">
        <v>18</v>
      </c>
      <c r="I38" s="44" t="s">
        <v>19</v>
      </c>
      <c r="J38" s="73"/>
      <c r="K38" s="43" t="s">
        <v>20</v>
      </c>
      <c r="L38" s="47"/>
      <c r="M38" s="61"/>
      <c r="N38" s="62"/>
      <c r="O38" s="63"/>
    </row>
    <row r="39" spans="1:15" ht="16.5" thickBot="1" x14ac:dyDescent="0.35">
      <c r="A39" s="77" t="s">
        <v>17</v>
      </c>
      <c r="B39" s="44" t="str">
        <f>IF($B$4='Ark2'!$A$3,2,"6*2 år")</f>
        <v>6*2 år</v>
      </c>
      <c r="C39" s="78"/>
      <c r="D39" s="78"/>
      <c r="E39" s="78"/>
      <c r="F39" s="2"/>
      <c r="G39" s="1"/>
      <c r="H39" s="98">
        <f>$B$9</f>
        <v>0</v>
      </c>
      <c r="I39" s="5"/>
      <c r="J39" s="99"/>
      <c r="K39" s="45">
        <f>H39*I39</f>
        <v>0</v>
      </c>
      <c r="L39" s="47"/>
      <c r="M39" s="68" t="str">
        <f>IF($B$4='Ark2'!$A$3,$B39*($F39+$K39),"0")</f>
        <v>0</v>
      </c>
      <c r="N39" s="69">
        <f>IF($B$4='Ark2'!$A$4,6*2*($F39+$K39),"0,00")</f>
        <v>0</v>
      </c>
      <c r="O39" s="81">
        <f t="shared" ref="O39" si="6">M39+N39</f>
        <v>0</v>
      </c>
    </row>
    <row r="40" spans="1:15" ht="15.75" thickBot="1" x14ac:dyDescent="0.3">
      <c r="A40" s="82" t="s">
        <v>38</v>
      </c>
      <c r="B40" s="83"/>
      <c r="C40" s="83"/>
      <c r="D40" s="83"/>
      <c r="E40" s="83"/>
      <c r="F40" s="84">
        <f>SUM(F30:F32)+F36</f>
        <v>0</v>
      </c>
      <c r="H40" s="85"/>
      <c r="I40" s="83"/>
      <c r="J40" s="83"/>
      <c r="K40" s="84">
        <f>SUM(K30:K32)+K39</f>
        <v>0</v>
      </c>
      <c r="M40" s="87">
        <f>M33+M36+M39</f>
        <v>0</v>
      </c>
      <c r="N40" s="87">
        <f>N33+N36+N39</f>
        <v>0</v>
      </c>
      <c r="O40" s="87">
        <f>O33+O36+O39</f>
        <v>0</v>
      </c>
    </row>
    <row r="41" spans="1:15" ht="15.75" thickBot="1" x14ac:dyDescent="0.3">
      <c r="A41" s="88"/>
      <c r="H41" s="88"/>
      <c r="M41" s="89"/>
      <c r="N41" s="90"/>
      <c r="O41" s="90"/>
    </row>
    <row r="42" spans="1:15" ht="15.75" thickBot="1" x14ac:dyDescent="0.3">
      <c r="A42" s="15" t="str">
        <f>IF($B$4 = 'Ark2'!$A$3, "Option kontraktperiode (Januar 2041-Januar 2043) - 2 år - Nulemission", "Skal ikke udfyldes")</f>
        <v>Skal ikke udfyldes</v>
      </c>
      <c r="B42" s="16"/>
      <c r="C42" s="16"/>
      <c r="D42" s="16"/>
      <c r="E42" s="16"/>
      <c r="F42" s="16"/>
      <c r="G42" s="16"/>
      <c r="H42" s="16"/>
      <c r="I42" s="16"/>
      <c r="J42" s="16"/>
      <c r="K42" s="16"/>
      <c r="L42" s="16"/>
      <c r="M42" s="91"/>
      <c r="N42" s="92"/>
      <c r="O42" s="93"/>
    </row>
    <row r="43" spans="1:15" ht="15.75" x14ac:dyDescent="0.3">
      <c r="A43" s="20"/>
      <c r="B43" s="21"/>
      <c r="C43" s="21"/>
      <c r="D43" s="144" t="s">
        <v>0</v>
      </c>
      <c r="E43" s="140"/>
      <c r="F43" s="141"/>
      <c r="G43" s="21"/>
      <c r="H43" s="145" t="s">
        <v>4</v>
      </c>
      <c r="I43" s="146"/>
      <c r="J43" s="146"/>
      <c r="K43" s="147"/>
      <c r="L43" s="23"/>
      <c r="M43" s="94"/>
      <c r="N43" s="95" t="s">
        <v>15</v>
      </c>
      <c r="O43" s="96"/>
    </row>
    <row r="44" spans="1:15" ht="105" x14ac:dyDescent="0.3">
      <c r="A44" s="100" t="str">
        <f>A29</f>
        <v>Nordfyns lokal</v>
      </c>
      <c r="B44" s="32" t="s">
        <v>31</v>
      </c>
      <c r="C44" s="32" t="s">
        <v>14</v>
      </c>
      <c r="D44" s="32" t="s">
        <v>1</v>
      </c>
      <c r="E44" s="34" t="s">
        <v>2</v>
      </c>
      <c r="F44" s="35" t="s">
        <v>3</v>
      </c>
      <c r="G44" s="21"/>
      <c r="H44" s="64" t="s">
        <v>8</v>
      </c>
      <c r="I44" s="65" t="s">
        <v>5</v>
      </c>
      <c r="J44" s="66" t="s">
        <v>6</v>
      </c>
      <c r="K44" s="67" t="s">
        <v>7</v>
      </c>
      <c r="L44" s="40"/>
      <c r="M44" s="101" t="str">
        <f>M29</f>
        <v>Nulemission</v>
      </c>
      <c r="N44" s="101" t="str">
        <f>N29</f>
        <v>Diesel</v>
      </c>
      <c r="O44" s="103" t="s">
        <v>16</v>
      </c>
    </row>
    <row r="45" spans="1:15" ht="15.75" x14ac:dyDescent="0.3">
      <c r="A45" s="148" t="s">
        <v>13</v>
      </c>
      <c r="B45" s="44" t="str">
        <f>IF($B$4='Ark2'!$A$3,2,"")</f>
        <v/>
      </c>
      <c r="C45" s="9"/>
      <c r="D45" s="7"/>
      <c r="E45" s="4"/>
      <c r="F45" s="110" t="str">
        <f>IF($B$4='Ark2'!$A$3,E45*D45*12,"0,00")</f>
        <v>0,00</v>
      </c>
      <c r="G45" s="21"/>
      <c r="H45" s="6"/>
      <c r="I45" s="4"/>
      <c r="J45" s="4"/>
      <c r="K45" s="110" t="str">
        <f>IF($B$4='Ark2'!$A$3,(I45+J45)*H45,"0,00")</f>
        <v>0,00</v>
      </c>
      <c r="L45" s="47"/>
      <c r="M45" s="48" t="str">
        <f>IF($B$45="","0,00",$B45*($F45+$K45))</f>
        <v>0,00</v>
      </c>
      <c r="N45" s="49" t="str">
        <f>IF($B45="","0,00","0,00")</f>
        <v>0,00</v>
      </c>
      <c r="O45" s="50">
        <f>M45+N45</f>
        <v>0</v>
      </c>
    </row>
    <row r="46" spans="1:15" ht="15.75" x14ac:dyDescent="0.3">
      <c r="A46" s="148"/>
      <c r="B46" s="44" t="str">
        <f>IF($B$4='Ark2'!$A$3,2,"")</f>
        <v/>
      </c>
      <c r="C46" s="9"/>
      <c r="D46" s="7"/>
      <c r="E46" s="4"/>
      <c r="F46" s="110" t="str">
        <f>IF($B$4='Ark2'!$A$3,E46*D46*12,"0,00")</f>
        <v>0,00</v>
      </c>
      <c r="G46" s="21"/>
      <c r="H46" s="6"/>
      <c r="I46" s="4"/>
      <c r="J46" s="4"/>
      <c r="K46" s="110" t="str">
        <f>IF($B$4='Ark2'!$A$3,(I46+J46)*H46,"0,00")</f>
        <v>0,00</v>
      </c>
      <c r="L46" s="47"/>
      <c r="M46" s="48" t="str">
        <f>IF($B$46="","0,00",$B46*($F46+$K46))</f>
        <v>0,00</v>
      </c>
      <c r="N46" s="49" t="str">
        <f>IF($B46="","0,00","0,00")</f>
        <v>0,00</v>
      </c>
      <c r="O46" s="50">
        <f t="shared" ref="O46:O47" si="7">M46+N46</f>
        <v>0</v>
      </c>
    </row>
    <row r="47" spans="1:15" ht="15.75" x14ac:dyDescent="0.3">
      <c r="A47" s="148"/>
      <c r="B47" s="44" t="str">
        <f>IF($B$4='Ark2'!$A$3,2,"")</f>
        <v/>
      </c>
      <c r="C47" s="9"/>
      <c r="D47" s="7"/>
      <c r="E47" s="4"/>
      <c r="F47" s="110" t="str">
        <f>IF($B$4='Ark2'!$A$3,E47*D47*12,"0,00")</f>
        <v>0,00</v>
      </c>
      <c r="G47" s="51"/>
      <c r="H47" s="6"/>
      <c r="I47" s="4"/>
      <c r="J47" s="4"/>
      <c r="K47" s="110" t="str">
        <f>IF($B$4='Ark2'!$A$3,(I47+J47)*H47,"0,00")</f>
        <v>0,00</v>
      </c>
      <c r="L47" s="47"/>
      <c r="M47" s="48" t="str">
        <f>IF($B$47="","0,00",$B47*($F47+$K47))</f>
        <v>0,00</v>
      </c>
      <c r="N47" s="49" t="str">
        <f>IF($B47="","0,00","0,00")</f>
        <v>0,00</v>
      </c>
      <c r="O47" s="50">
        <f t="shared" si="7"/>
        <v>0</v>
      </c>
    </row>
    <row r="48" spans="1:15" ht="16.5" customHeight="1" x14ac:dyDescent="0.3">
      <c r="A48" s="52"/>
      <c r="B48" s="58"/>
      <c r="C48" s="44"/>
      <c r="D48" s="10">
        <f>SUM(D45:D47)</f>
        <v>0</v>
      </c>
      <c r="E48" s="53"/>
      <c r="F48" s="54"/>
      <c r="H48" s="46">
        <f>SUM(H45:H47)</f>
        <v>0</v>
      </c>
      <c r="I48" s="53"/>
      <c r="J48" s="53"/>
      <c r="K48" s="54"/>
      <c r="M48" s="75">
        <f>SUM(M45:M47)</f>
        <v>0</v>
      </c>
      <c r="N48" s="56">
        <f>SUM(N45:N47)</f>
        <v>0</v>
      </c>
      <c r="O48" s="57">
        <f>SUM(O45:O47)</f>
        <v>0</v>
      </c>
    </row>
    <row r="49" spans="1:15" x14ac:dyDescent="0.25">
      <c r="A49" s="52"/>
      <c r="B49" s="58"/>
      <c r="C49" s="58"/>
      <c r="F49" s="54"/>
      <c r="H49" s="59"/>
      <c r="K49" s="54"/>
      <c r="M49" s="55"/>
      <c r="N49" s="57"/>
      <c r="O49" s="60"/>
    </row>
    <row r="50" spans="1:15" ht="45" x14ac:dyDescent="0.3">
      <c r="A50" s="41" t="s">
        <v>9</v>
      </c>
      <c r="B50" s="32" t="s">
        <v>31</v>
      </c>
      <c r="C50" s="44"/>
      <c r="D50" s="44"/>
      <c r="E50" s="42" t="s">
        <v>28</v>
      </c>
      <c r="F50" s="43" t="s">
        <v>9</v>
      </c>
      <c r="G50" s="40"/>
      <c r="H50" s="137"/>
      <c r="I50" s="138"/>
      <c r="J50" s="138"/>
      <c r="K50" s="139"/>
      <c r="L50" s="23"/>
      <c r="M50" s="104"/>
      <c r="N50" s="62"/>
      <c r="O50" s="105"/>
    </row>
    <row r="51" spans="1:15" ht="15.75" x14ac:dyDescent="0.3">
      <c r="A51" s="41"/>
      <c r="B51" s="44" t="str">
        <f>IF($B$4='Ark2'!$A$3,2,"")</f>
        <v/>
      </c>
      <c r="C51" s="44"/>
      <c r="D51" s="53"/>
      <c r="E51" s="4"/>
      <c r="F51" s="45" t="str">
        <f>IF($B$4='Ark2'!$A$3,E51*12,"0,00")</f>
        <v>0,00</v>
      </c>
      <c r="G51" s="40"/>
      <c r="H51" s="64"/>
      <c r="I51" s="65"/>
      <c r="J51" s="66"/>
      <c r="K51" s="67"/>
      <c r="L51" s="40"/>
      <c r="M51" s="48" t="str">
        <f>IF($B$51="","0,00",$B51*($F51+$K51))</f>
        <v>0,00</v>
      </c>
      <c r="N51" s="49" t="str">
        <f>IF($B51="","0,00","0,00")</f>
        <v>0,00</v>
      </c>
      <c r="O51" s="106">
        <f t="shared" ref="O51" si="8">M51+N51</f>
        <v>0</v>
      </c>
    </row>
    <row r="52" spans="1:15" ht="15.75" x14ac:dyDescent="0.3">
      <c r="A52" s="71"/>
      <c r="C52" s="58"/>
      <c r="F52" s="72"/>
      <c r="G52" s="40"/>
      <c r="H52" s="3"/>
      <c r="I52" s="73"/>
      <c r="J52" s="73"/>
      <c r="K52" s="74"/>
      <c r="L52" s="47"/>
      <c r="M52" s="75"/>
      <c r="N52" s="56"/>
      <c r="O52" s="57"/>
    </row>
    <row r="53" spans="1:15" ht="54.75" customHeight="1" x14ac:dyDescent="0.3">
      <c r="A53" s="41"/>
      <c r="B53" s="32" t="s">
        <v>31</v>
      </c>
      <c r="C53" s="42"/>
      <c r="D53" s="44"/>
      <c r="E53" s="44"/>
      <c r="F53" s="43"/>
      <c r="G53" s="21"/>
      <c r="H53" s="41" t="s">
        <v>18</v>
      </c>
      <c r="I53" s="44" t="s">
        <v>19</v>
      </c>
      <c r="J53" s="76"/>
      <c r="K53" s="43" t="s">
        <v>20</v>
      </c>
      <c r="L53" s="47"/>
      <c r="M53" s="61"/>
      <c r="N53" s="62"/>
      <c r="O53" s="63"/>
    </row>
    <row r="54" spans="1:15" ht="16.5" thickBot="1" x14ac:dyDescent="0.35">
      <c r="A54" s="77" t="s">
        <v>17</v>
      </c>
      <c r="B54" s="44" t="str">
        <f>IF($B$4='Ark2'!$A$3,2,"")</f>
        <v/>
      </c>
      <c r="C54" s="78"/>
      <c r="D54" s="78"/>
      <c r="E54" s="78"/>
      <c r="F54" s="2"/>
      <c r="G54" s="1"/>
      <c r="H54" s="8">
        <f>$B$9</f>
        <v>0</v>
      </c>
      <c r="I54" s="4"/>
      <c r="J54" s="76"/>
      <c r="K54" s="45" t="str">
        <f>IF($B$4='Ark2'!$A$3,H54*I54,"0,00")</f>
        <v>0,00</v>
      </c>
      <c r="L54" s="47"/>
      <c r="M54" s="48" t="str">
        <f>IF($B$54="","0,00",$B54*($F54+$K54))</f>
        <v>0,00</v>
      </c>
      <c r="N54" s="49" t="str">
        <f>IF($B54="","0,00","0,00")</f>
        <v>0,00</v>
      </c>
      <c r="O54" s="107">
        <f t="shared" ref="O54" si="9">M54+N54</f>
        <v>0</v>
      </c>
    </row>
    <row r="55" spans="1:15" ht="15.75" thickBot="1" x14ac:dyDescent="0.3">
      <c r="A55" s="82" t="s">
        <v>38</v>
      </c>
      <c r="B55" s="83"/>
      <c r="C55" s="83"/>
      <c r="D55" s="83"/>
      <c r="E55" s="83"/>
      <c r="F55" s="84">
        <f>SUM(F45:F47)+F51</f>
        <v>0</v>
      </c>
      <c r="H55" s="85"/>
      <c r="I55" s="83"/>
      <c r="J55" s="83"/>
      <c r="K55" s="84">
        <f>SUM(K45:K47)+K54</f>
        <v>0</v>
      </c>
      <c r="M55" s="87">
        <f>M48+M51+M54</f>
        <v>0</v>
      </c>
      <c r="N55" s="87">
        <f>N48+N51+N54</f>
        <v>0</v>
      </c>
      <c r="O55" s="87">
        <f>O48+O51+O54</f>
        <v>0</v>
      </c>
    </row>
    <row r="56" spans="1:15" x14ac:dyDescent="0.25">
      <c r="A56" s="59"/>
      <c r="M56" s="89"/>
      <c r="N56" s="90"/>
      <c r="O56" s="90"/>
    </row>
    <row r="57" spans="1:15" ht="15.75" thickBot="1" x14ac:dyDescent="0.3">
      <c r="A57" s="59"/>
      <c r="M57" s="89"/>
      <c r="N57" s="90"/>
      <c r="O57" s="90"/>
    </row>
    <row r="58" spans="1:15" ht="15.75" thickBot="1" x14ac:dyDescent="0.3">
      <c r="A58" s="59"/>
      <c r="F58" s="108" t="str">
        <f>IF($B$4="Nulemission",_xlfn.CONCAT("Total ",A14," - ",'Ark2'!$A$3," - 16 år"),_xlfn.CONCAT("Total ",A14," - ",'Ark2'!$A$4," - 4 år + 6*2 år"))</f>
        <v>Total Nordfyns lokal - Diesel - 4 år + 6*2 år</v>
      </c>
      <c r="M58" s="87">
        <f>M55+M40+M25</f>
        <v>0</v>
      </c>
      <c r="N58" s="87">
        <f>N55+N40+N25</f>
        <v>0</v>
      </c>
      <c r="O58" s="87">
        <f>O55+O40+O25</f>
        <v>0</v>
      </c>
    </row>
    <row r="59" spans="1:15" x14ac:dyDescent="0.25">
      <c r="A59" s="59"/>
      <c r="M59" s="109"/>
    </row>
    <row r="60" spans="1:15" x14ac:dyDescent="0.25">
      <c r="A60" s="59"/>
    </row>
    <row r="63" spans="1:15" ht="16.5" customHeight="1" x14ac:dyDescent="0.25"/>
    <row r="66" customFormat="1" ht="15.75" customHeight="1" x14ac:dyDescent="0.25"/>
  </sheetData>
  <sheetProtection algorithmName="SHA-512" hashValue="t5z6cp3HJOE4biftS7U7IAfMjW5Vs+h+h3/4pySP3We4q3BbYkQlgJ3N9zWOI9srwemggV0JLwCqiRLH9vKJgw==" saltValue="fjA0KxhGIn6VsjtYHfCGlA==" spinCount="100000" sheet="1" objects="1" scenarios="1"/>
  <protectedRanges>
    <protectedRange sqref="E21 E36 E51" name="F1_2"/>
    <protectedRange sqref="F52:F53 K53 G23:G24 F22:F23 K23 G38:G39 F37:F38 K38 G53:G54 I24 I39 I54" name="P3 Ø_2"/>
    <protectedRange sqref="E21 E36 E51" name="P3 C_3"/>
    <protectedRange sqref="E30:E32 E45:E47" name="P3 B_1_1"/>
    <protectedRange sqref="I15:I17 I45:I47 I30:I32" name="P3 Ø_1_1"/>
    <protectedRange sqref="J15:J17 J45:J47 J30:J32" name="P3 C_1_1"/>
    <protectedRange sqref="F21 F36" name="F1_1_1"/>
    <protectedRange sqref="F21 F36" name="P3 C_2_1"/>
    <protectedRange sqref="E15:E17" name="P3 B_2"/>
  </protectedRanges>
  <mergeCells count="13">
    <mergeCell ref="M12:O12"/>
    <mergeCell ref="H50:K50"/>
    <mergeCell ref="D12:F12"/>
    <mergeCell ref="H12:K12"/>
    <mergeCell ref="A15:A17"/>
    <mergeCell ref="H20:K20"/>
    <mergeCell ref="D28:F28"/>
    <mergeCell ref="H28:K28"/>
    <mergeCell ref="A30:A32"/>
    <mergeCell ref="H35:K35"/>
    <mergeCell ref="D43:F43"/>
    <mergeCell ref="H43:K43"/>
    <mergeCell ref="A45:A47"/>
  </mergeCells>
  <conditionalFormatting sqref="H18">
    <cfRule type="cellIs" dxfId="23" priority="5" operator="notEqual">
      <formula>$B$8</formula>
    </cfRule>
    <cfRule type="expression" dxfId="22" priority="6">
      <formula>SUM($H$15:$H$17)=$B$8</formula>
    </cfRule>
  </conditionalFormatting>
  <conditionalFormatting sqref="H33">
    <cfRule type="cellIs" dxfId="21" priority="3" operator="notEqual">
      <formula>$B$8</formula>
    </cfRule>
    <cfRule type="expression" dxfId="20" priority="4">
      <formula>SUM($H$30:$H$32)=$B$8</formula>
    </cfRule>
  </conditionalFormatting>
  <conditionalFormatting sqref="H48">
    <cfRule type="cellIs" dxfId="19" priority="1" operator="notEqual">
      <formula>$B$8</formula>
    </cfRule>
    <cfRule type="expression" dxfId="18" priority="2">
      <formula>SUM($H$45:$H$47)=$B$8</formula>
    </cfRule>
  </conditionalFormatting>
  <pageMargins left="0.23622047244094491" right="0.23622047244094491" top="0.94488188976377963" bottom="0.74803149606299213" header="0.31496062992125984" footer="0.31496062992125984"/>
  <pageSetup paperSize="9" scale="33" orientation="portrait" r:id="rId1"/>
  <headerFooter>
    <oddHeader xml:space="preserve">&amp;L&amp;10FynBus, 9. februar 2024 
Udbud af emissionsfri buskørsel i Svendborg By
J.nr. 202311-40216 </oddHeader>
  </headerFooter>
  <rowBreaks count="1" manualBreakCount="1">
    <brk id="59" max="16"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AF01FB1-FD38-4037-BC80-A82886F188FF}">
          <x14:formula1>
            <xm:f>'Ark2'!$A$2:$A$4</xm:f>
          </x14:formula1>
          <xm:sqref>B4</xm:sqref>
        </x14:dataValidation>
        <x14:dataValidation type="list" allowBlank="1" showInputMessage="1" showErrorMessage="1" xr:uid="{D806EF88-B815-441F-A1F3-4FC23D88AECD}">
          <x14:formula1>
            <xm:f>'Ark2'!$E$2:$E$5</xm:f>
          </x14:formula1>
          <xm:sqref>C15:C17 C30:C32 C45:C47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5D99D-E8E0-42B9-9FA2-A89672EF972F}">
  <dimension ref="A1:O66"/>
  <sheetViews>
    <sheetView zoomScale="90" zoomScaleNormal="90" zoomScaleSheetLayoutView="90" workbookViewId="0">
      <selection activeCell="B4" sqref="B4"/>
    </sheetView>
  </sheetViews>
  <sheetFormatPr defaultRowHeight="15" x14ac:dyDescent="0.25"/>
  <cols>
    <col min="1" max="1" width="33.85546875" customWidth="1"/>
    <col min="2" max="2" width="19.7109375" customWidth="1"/>
    <col min="3" max="4" width="19" customWidth="1"/>
    <col min="5" max="5" width="14.28515625" customWidth="1"/>
    <col min="6" max="6" width="21.140625" customWidth="1"/>
    <col min="7" max="7" width="11.7109375" customWidth="1"/>
    <col min="8" max="8" width="10.5703125" customWidth="1"/>
    <col min="9" max="9" width="14.5703125" customWidth="1"/>
    <col min="11" max="11" width="19.5703125" customWidth="1"/>
    <col min="12" max="12" width="11.7109375" customWidth="1"/>
    <col min="13" max="13" width="20.85546875" customWidth="1"/>
    <col min="14" max="14" width="17.28515625" customWidth="1"/>
    <col min="15" max="15" width="24.5703125" customWidth="1"/>
    <col min="16" max="16" width="21.85546875" customWidth="1"/>
    <col min="18" max="18" width="20.42578125" customWidth="1"/>
  </cols>
  <sheetData>
    <row r="1" spans="1:15" ht="33" customHeight="1" x14ac:dyDescent="0.25">
      <c r="A1" s="11" t="str">
        <f>_xlfn.CONCAT("Tilbudsskema - Fælles udbud - pakke 1 - Delkontrakt 4 - ", A14)</f>
        <v>Tilbudsskema - Fælles udbud - pakke 1 - Delkontrakt 4 - Middelfart bybus</v>
      </c>
      <c r="B1" s="11"/>
      <c r="C1" s="11"/>
      <c r="D1" s="11"/>
    </row>
    <row r="2" spans="1:15" ht="141.75" customHeight="1" x14ac:dyDescent="0.25">
      <c r="A2" s="12"/>
      <c r="B2" s="12"/>
      <c r="C2" s="12"/>
      <c r="D2" s="12"/>
    </row>
    <row r="3" spans="1:15" ht="210.75" customHeight="1" x14ac:dyDescent="0.25">
      <c r="A3" s="12"/>
      <c r="B3" s="12"/>
      <c r="C3" s="12"/>
      <c r="D3" s="12"/>
    </row>
    <row r="4" spans="1:15" ht="16.5" customHeight="1" x14ac:dyDescent="0.25">
      <c r="A4" s="13" t="s">
        <v>10</v>
      </c>
      <c r="B4" s="13" t="s">
        <v>41</v>
      </c>
      <c r="C4" s="12"/>
      <c r="D4" s="12"/>
    </row>
    <row r="5" spans="1:15" ht="19.5" customHeight="1" x14ac:dyDescent="0.25">
      <c r="A5" s="12"/>
      <c r="B5" s="12"/>
      <c r="C5" s="12"/>
      <c r="D5" s="12"/>
    </row>
    <row r="6" spans="1:15" ht="19.5" customHeight="1" x14ac:dyDescent="0.25">
      <c r="A6" s="12" t="s">
        <v>32</v>
      </c>
      <c r="B6" s="12"/>
      <c r="C6" s="12"/>
      <c r="D6" s="12"/>
    </row>
    <row r="7" spans="1:15" ht="19.5" customHeight="1" x14ac:dyDescent="0.25">
      <c r="A7" s="12" t="s">
        <v>33</v>
      </c>
      <c r="B7" s="12">
        <v>2</v>
      </c>
      <c r="C7" s="12"/>
      <c r="D7" s="12"/>
    </row>
    <row r="8" spans="1:15" ht="19.5" customHeight="1" x14ac:dyDescent="0.25">
      <c r="A8" s="12" t="s">
        <v>34</v>
      </c>
      <c r="B8" s="14">
        <v>5531</v>
      </c>
      <c r="C8" s="12"/>
      <c r="D8" s="14"/>
    </row>
    <row r="9" spans="1:15" ht="19.5" customHeight="1" x14ac:dyDescent="0.25">
      <c r="A9" s="12" t="s">
        <v>36</v>
      </c>
      <c r="B9" s="14">
        <v>0</v>
      </c>
      <c r="C9" s="12"/>
      <c r="D9" s="12"/>
    </row>
    <row r="10" spans="1:15" ht="19.5" customHeight="1" thickBot="1" x14ac:dyDescent="0.3">
      <c r="A10" s="12"/>
      <c r="B10" s="12"/>
      <c r="C10" s="12"/>
      <c r="D10" s="12"/>
    </row>
    <row r="11" spans="1:15" ht="15.75" thickBot="1" x14ac:dyDescent="0.3">
      <c r="A11" s="15" t="s">
        <v>42</v>
      </c>
      <c r="B11" s="16"/>
      <c r="C11" s="16"/>
      <c r="D11" s="16"/>
      <c r="E11" s="16"/>
      <c r="F11" s="16"/>
      <c r="G11" s="16"/>
      <c r="H11" s="16"/>
      <c r="I11" s="16"/>
      <c r="J11" s="16"/>
      <c r="K11" s="16"/>
      <c r="L11" s="16"/>
      <c r="M11" s="17"/>
      <c r="N11" s="18"/>
      <c r="O11" s="19"/>
    </row>
    <row r="12" spans="1:15" ht="20.25" customHeight="1" x14ac:dyDescent="0.3">
      <c r="A12" s="20"/>
      <c r="B12" s="21"/>
      <c r="C12" s="22"/>
      <c r="D12" s="140" t="s">
        <v>0</v>
      </c>
      <c r="E12" s="140"/>
      <c r="F12" s="141"/>
      <c r="G12" s="21"/>
      <c r="H12" s="142" t="s">
        <v>4</v>
      </c>
      <c r="I12" s="140"/>
      <c r="J12" s="140"/>
      <c r="K12" s="141"/>
      <c r="L12" s="23"/>
      <c r="M12" s="24"/>
      <c r="N12" s="25" t="s">
        <v>15</v>
      </c>
      <c r="O12" s="26"/>
    </row>
    <row r="13" spans="1:15" ht="16.5" thickBot="1" x14ac:dyDescent="0.35">
      <c r="A13" s="21"/>
      <c r="B13" s="21"/>
      <c r="C13" s="27"/>
      <c r="D13" s="21"/>
      <c r="E13" s="28"/>
      <c r="F13" s="29"/>
      <c r="G13" s="21"/>
      <c r="H13" s="30"/>
      <c r="I13" s="23"/>
      <c r="J13" s="23"/>
      <c r="K13" s="31"/>
      <c r="L13" s="23"/>
      <c r="M13" s="24"/>
      <c r="N13" s="25"/>
      <c r="O13" s="26"/>
    </row>
    <row r="14" spans="1:15" ht="105" x14ac:dyDescent="0.3">
      <c r="A14" s="32" t="s">
        <v>22</v>
      </c>
      <c r="B14" s="32" t="s">
        <v>31</v>
      </c>
      <c r="C14" s="33" t="s">
        <v>14</v>
      </c>
      <c r="D14" s="32" t="s">
        <v>1</v>
      </c>
      <c r="E14" s="34" t="s">
        <v>2</v>
      </c>
      <c r="F14" s="35" t="s">
        <v>3</v>
      </c>
      <c r="G14" s="21"/>
      <c r="H14" s="36" t="s">
        <v>8</v>
      </c>
      <c r="I14" s="37" t="s">
        <v>5</v>
      </c>
      <c r="J14" s="38" t="s">
        <v>6</v>
      </c>
      <c r="K14" s="39" t="s">
        <v>7</v>
      </c>
      <c r="L14" s="40"/>
      <c r="M14" s="41" t="str">
        <f>'Ark2'!$A$3</f>
        <v>Nulemission</v>
      </c>
      <c r="N14" s="41" t="str">
        <f>'Ark2'!$A$4</f>
        <v>Diesel</v>
      </c>
      <c r="O14" s="43" t="s">
        <v>16</v>
      </c>
    </row>
    <row r="15" spans="1:15" ht="30" customHeight="1" x14ac:dyDescent="0.3">
      <c r="A15" s="143" t="s">
        <v>13</v>
      </c>
      <c r="B15" s="44">
        <f>IF($B$4='Ark2'!$A$3,12,4)</f>
        <v>12</v>
      </c>
      <c r="C15" s="9"/>
      <c r="D15" s="7"/>
      <c r="E15" s="4"/>
      <c r="F15" s="45">
        <f>E15*D15*12</f>
        <v>0</v>
      </c>
      <c r="G15" s="21"/>
      <c r="H15" s="6"/>
      <c r="I15" s="4"/>
      <c r="J15" s="4"/>
      <c r="K15" s="45">
        <f>(I15+J15)*H15</f>
        <v>0</v>
      </c>
      <c r="L15" s="47"/>
      <c r="M15" s="48">
        <f>IF($B$4='Ark2'!$A$3,$B15*($F15+$K15),"0,00")</f>
        <v>0</v>
      </c>
      <c r="N15" s="49" t="str">
        <f>IF($B$4='Ark2'!$A$4,$B15*($F15+$K15),"0,00")</f>
        <v>0,00</v>
      </c>
      <c r="O15" s="50">
        <f>M15+N15</f>
        <v>0</v>
      </c>
    </row>
    <row r="16" spans="1:15" ht="15.75" x14ac:dyDescent="0.3">
      <c r="A16" s="143"/>
      <c r="B16" s="44">
        <f>IF($B$4='Ark2'!$A$3,12,4)</f>
        <v>12</v>
      </c>
      <c r="C16" s="9"/>
      <c r="D16" s="7"/>
      <c r="E16" s="4"/>
      <c r="F16" s="45">
        <f>E16*D16*12</f>
        <v>0</v>
      </c>
      <c r="G16" s="21"/>
      <c r="H16" s="6"/>
      <c r="I16" s="4"/>
      <c r="J16" s="4"/>
      <c r="K16" s="45">
        <f t="shared" ref="K16:K17" si="0">(I16+J16)*H16</f>
        <v>0</v>
      </c>
      <c r="L16" s="47"/>
      <c r="M16" s="48">
        <f>IF($B$4='Ark2'!$A$3,$B16*($F16+$K16),"0,00")</f>
        <v>0</v>
      </c>
      <c r="N16" s="49" t="str">
        <f>IF($B$4='Ark2'!$A$4,$B16*($F16+$K16),"0,00")</f>
        <v>0,00</v>
      </c>
      <c r="O16" s="50">
        <f t="shared" ref="O16:O17" si="1">M16+N16</f>
        <v>0</v>
      </c>
    </row>
    <row r="17" spans="1:15" ht="15.75" x14ac:dyDescent="0.3">
      <c r="A17" s="143"/>
      <c r="B17" s="44">
        <f>IF($B$4='Ark2'!$A$3,12,4)</f>
        <v>12</v>
      </c>
      <c r="C17" s="9"/>
      <c r="D17" s="7"/>
      <c r="E17" s="4"/>
      <c r="F17" s="45">
        <f>E17*D17*12</f>
        <v>0</v>
      </c>
      <c r="G17" s="51"/>
      <c r="H17" s="6"/>
      <c r="I17" s="4"/>
      <c r="J17" s="4"/>
      <c r="K17" s="45">
        <f t="shared" si="0"/>
        <v>0</v>
      </c>
      <c r="L17" s="47"/>
      <c r="M17" s="48">
        <f>IF($B$4='Ark2'!$A$3,$B17*($F17+$K17),"0,00")</f>
        <v>0</v>
      </c>
      <c r="N17" s="49" t="str">
        <f>IF($B$4='Ark2'!$A$4,$B17*($F17+$K17),"0,00")</f>
        <v>0,00</v>
      </c>
      <c r="O17" s="50">
        <f t="shared" si="1"/>
        <v>0</v>
      </c>
    </row>
    <row r="18" spans="1:15" ht="15.75" x14ac:dyDescent="0.3">
      <c r="A18" s="52"/>
      <c r="B18" s="44" t="s">
        <v>40</v>
      </c>
      <c r="C18" s="44"/>
      <c r="D18" s="10">
        <f>SUM(D15:D17)</f>
        <v>0</v>
      </c>
      <c r="E18" s="53"/>
      <c r="F18" s="54"/>
      <c r="H18" s="46">
        <f>SUM(H15:H17)</f>
        <v>0</v>
      </c>
      <c r="I18" s="53"/>
      <c r="J18" s="53"/>
      <c r="K18" s="54"/>
      <c r="M18" s="55">
        <f>SUM(M15:M17)</f>
        <v>0</v>
      </c>
      <c r="N18" s="56">
        <f>SUM(N15:N17)</f>
        <v>0</v>
      </c>
      <c r="O18" s="57">
        <f>SUM(O15:O17)</f>
        <v>0</v>
      </c>
    </row>
    <row r="19" spans="1:15" x14ac:dyDescent="0.25">
      <c r="A19" s="52"/>
      <c r="B19" s="58"/>
      <c r="C19" s="58"/>
      <c r="F19" s="54"/>
      <c r="H19" s="59"/>
      <c r="K19" s="54"/>
      <c r="M19" s="55"/>
      <c r="N19" s="57"/>
      <c r="O19" s="60"/>
    </row>
    <row r="20" spans="1:15" ht="48" customHeight="1" x14ac:dyDescent="0.3">
      <c r="A20" s="41" t="s">
        <v>37</v>
      </c>
      <c r="B20" s="32" t="s">
        <v>31</v>
      </c>
      <c r="C20" s="44"/>
      <c r="D20" s="44"/>
      <c r="E20" s="42" t="s">
        <v>28</v>
      </c>
      <c r="F20" s="43" t="s">
        <v>9</v>
      </c>
      <c r="G20" s="40"/>
      <c r="H20" s="137"/>
      <c r="I20" s="138"/>
      <c r="J20" s="138"/>
      <c r="K20" s="139"/>
      <c r="L20" s="23"/>
      <c r="M20" s="61"/>
      <c r="N20" s="62"/>
      <c r="O20" s="63"/>
    </row>
    <row r="21" spans="1:15" ht="15.75" x14ac:dyDescent="0.3">
      <c r="A21" s="41"/>
      <c r="B21" s="44">
        <f>IF($B$4='Ark2'!$A$3,12,4)</f>
        <v>12</v>
      </c>
      <c r="C21" s="44"/>
      <c r="D21" s="53"/>
      <c r="E21" s="4"/>
      <c r="F21" s="45">
        <f>E21*12</f>
        <v>0</v>
      </c>
      <c r="G21" s="40"/>
      <c r="H21" s="64"/>
      <c r="I21" s="65"/>
      <c r="J21" s="66"/>
      <c r="K21" s="67"/>
      <c r="L21" s="40"/>
      <c r="M21" s="68">
        <f>IF($B$4='Ark2'!$A$3,$B21*($F21+$K21),"0,00")</f>
        <v>0</v>
      </c>
      <c r="N21" s="69" t="str">
        <f>IF($B$4='Ark2'!$A$4,$B21*($F21+$K21),"0,00")</f>
        <v>0,00</v>
      </c>
      <c r="O21" s="70">
        <f t="shared" ref="O21" si="2">M21+N21</f>
        <v>0</v>
      </c>
    </row>
    <row r="22" spans="1:15" ht="15.75" x14ac:dyDescent="0.3">
      <c r="A22" s="71"/>
      <c r="C22" s="58"/>
      <c r="F22" s="72"/>
      <c r="G22" s="40"/>
      <c r="H22" s="3"/>
      <c r="I22" s="73"/>
      <c r="J22" s="73"/>
      <c r="K22" s="74"/>
      <c r="L22" s="47"/>
      <c r="M22" s="75"/>
      <c r="N22" s="56"/>
      <c r="O22" s="57"/>
    </row>
    <row r="23" spans="1:15" ht="45" x14ac:dyDescent="0.3">
      <c r="A23" s="42"/>
      <c r="B23" s="32" t="s">
        <v>31</v>
      </c>
      <c r="C23" s="42"/>
      <c r="D23" s="44"/>
      <c r="E23" s="44"/>
      <c r="F23" s="43"/>
      <c r="G23" s="21"/>
      <c r="H23" s="41" t="s">
        <v>18</v>
      </c>
      <c r="I23" s="44" t="s">
        <v>19</v>
      </c>
      <c r="J23" s="76"/>
      <c r="K23" s="43" t="s">
        <v>20</v>
      </c>
      <c r="L23" s="47"/>
      <c r="M23" s="61"/>
      <c r="N23" s="62"/>
      <c r="O23" s="63"/>
    </row>
    <row r="24" spans="1:15" ht="16.5" thickBot="1" x14ac:dyDescent="0.35">
      <c r="A24" s="77" t="s">
        <v>17</v>
      </c>
      <c r="B24" s="44">
        <f>IF($B$4='Ark2'!$A$3,12,4)</f>
        <v>12</v>
      </c>
      <c r="C24" s="78"/>
      <c r="D24" s="78"/>
      <c r="E24" s="78"/>
      <c r="F24" s="2"/>
      <c r="G24" s="1"/>
      <c r="H24" s="79">
        <f>$B$9</f>
        <v>0</v>
      </c>
      <c r="I24" s="5"/>
      <c r="J24" s="80"/>
      <c r="K24" s="45">
        <f>I24*H24</f>
        <v>0</v>
      </c>
      <c r="L24" s="47"/>
      <c r="M24" s="68">
        <f>IF($B$4='Ark2'!$A$3,$B24*($F24+$K24),"0,00")</f>
        <v>0</v>
      </c>
      <c r="N24" s="69" t="str">
        <f>IF($B$4='Ark2'!$A$4,$B24*($F24+$K24),"0,00")</f>
        <v>0,00</v>
      </c>
      <c r="O24" s="81">
        <f t="shared" ref="O24" si="3">M24+N24</f>
        <v>0</v>
      </c>
    </row>
    <row r="25" spans="1:15" ht="20.25" customHeight="1" thickBot="1" x14ac:dyDescent="0.3">
      <c r="A25" s="82" t="s">
        <v>38</v>
      </c>
      <c r="B25" s="83"/>
      <c r="C25" s="83"/>
      <c r="D25" s="83"/>
      <c r="E25" s="83"/>
      <c r="F25" s="84">
        <f>SUM(F15:F17)+F21</f>
        <v>0</v>
      </c>
      <c r="H25" s="85"/>
      <c r="I25" s="83"/>
      <c r="J25" s="83"/>
      <c r="K25" s="86">
        <f>SUM(K15:K17)+K24</f>
        <v>0</v>
      </c>
      <c r="M25" s="87">
        <f>M18+M21+M24</f>
        <v>0</v>
      </c>
      <c r="N25" s="87">
        <f>N18+N21+N24</f>
        <v>0</v>
      </c>
      <c r="O25" s="87">
        <f>O18+O21+O24</f>
        <v>0</v>
      </c>
    </row>
    <row r="26" spans="1:15" ht="15.75" thickBot="1" x14ac:dyDescent="0.3">
      <c r="A26" s="88"/>
      <c r="H26" s="88"/>
      <c r="M26" s="89"/>
      <c r="N26" s="90"/>
      <c r="O26" s="90"/>
    </row>
    <row r="27" spans="1:15" ht="15.75" thickBot="1" x14ac:dyDescent="0.3">
      <c r="A27" s="15" t="s">
        <v>50</v>
      </c>
      <c r="B27" s="16"/>
      <c r="C27" s="16"/>
      <c r="D27" s="16"/>
      <c r="E27" s="16"/>
      <c r="F27" s="16"/>
      <c r="G27" s="16"/>
      <c r="H27" s="16"/>
      <c r="I27" s="16"/>
      <c r="J27" s="16"/>
      <c r="K27" s="16"/>
      <c r="L27" s="16"/>
      <c r="M27" s="91"/>
      <c r="N27" s="92"/>
      <c r="O27" s="93"/>
    </row>
    <row r="28" spans="1:15" ht="21" customHeight="1" x14ac:dyDescent="0.3">
      <c r="A28" s="20"/>
      <c r="B28" s="21"/>
      <c r="C28" s="21"/>
      <c r="D28" s="144" t="s">
        <v>0</v>
      </c>
      <c r="E28" s="140"/>
      <c r="F28" s="141"/>
      <c r="G28" s="21"/>
      <c r="H28" s="145" t="s">
        <v>4</v>
      </c>
      <c r="I28" s="146"/>
      <c r="J28" s="146"/>
      <c r="K28" s="147"/>
      <c r="L28" s="23"/>
      <c r="M28" s="94"/>
      <c r="N28" s="95" t="s">
        <v>15</v>
      </c>
      <c r="O28" s="96"/>
    </row>
    <row r="29" spans="1:15" ht="105" x14ac:dyDescent="0.3">
      <c r="A29" s="32" t="str">
        <f>A14</f>
        <v>Middelfart bybus</v>
      </c>
      <c r="B29" s="32" t="s">
        <v>31</v>
      </c>
      <c r="C29" s="33" t="s">
        <v>14</v>
      </c>
      <c r="D29" s="32" t="s">
        <v>1</v>
      </c>
      <c r="E29" s="34" t="s">
        <v>2</v>
      </c>
      <c r="F29" s="35" t="s">
        <v>3</v>
      </c>
      <c r="G29" s="21"/>
      <c r="H29" s="64" t="s">
        <v>8</v>
      </c>
      <c r="I29" s="65" t="s">
        <v>5</v>
      </c>
      <c r="J29" s="66" t="s">
        <v>6</v>
      </c>
      <c r="K29" s="67" t="s">
        <v>7</v>
      </c>
      <c r="L29" s="40"/>
      <c r="M29" s="129" t="str">
        <f>M14</f>
        <v>Nulemission</v>
      </c>
      <c r="N29" s="42" t="str">
        <f>N14</f>
        <v>Diesel</v>
      </c>
      <c r="O29" s="43" t="s">
        <v>16</v>
      </c>
    </row>
    <row r="30" spans="1:15" ht="15.75" x14ac:dyDescent="0.3">
      <c r="A30" s="148" t="s">
        <v>13</v>
      </c>
      <c r="B30" s="44">
        <f>IF($B$4='Ark2'!$A$3,2,2)</f>
        <v>2</v>
      </c>
      <c r="C30" s="9"/>
      <c r="D30" s="7"/>
      <c r="E30" s="4"/>
      <c r="F30" s="110">
        <f>E30*D30*12</f>
        <v>0</v>
      </c>
      <c r="G30" s="21"/>
      <c r="H30" s="6"/>
      <c r="I30" s="4"/>
      <c r="J30" s="4"/>
      <c r="K30" s="110">
        <f>(I30+J30)*H30</f>
        <v>0</v>
      </c>
      <c r="L30" s="47"/>
      <c r="M30" s="48">
        <f>IF($B$4='Ark2'!$A$3,$B30*($F30+$K30),"0,00")</f>
        <v>0</v>
      </c>
      <c r="N30" s="49" t="str">
        <f>IF($B$4='Ark2'!$A$4,(6*2)*($F30+$K30),"0,00")</f>
        <v>0,00</v>
      </c>
      <c r="O30" s="50">
        <f>M30+N30</f>
        <v>0</v>
      </c>
    </row>
    <row r="31" spans="1:15" ht="15.75" x14ac:dyDescent="0.3">
      <c r="A31" s="148"/>
      <c r="B31" s="44">
        <f>IF($B$4='Ark2'!$A$3,2,2)</f>
        <v>2</v>
      </c>
      <c r="C31" s="9"/>
      <c r="D31" s="7"/>
      <c r="E31" s="4"/>
      <c r="F31" s="110">
        <f>E31*D31*12</f>
        <v>0</v>
      </c>
      <c r="G31" s="21"/>
      <c r="H31" s="6"/>
      <c r="I31" s="4"/>
      <c r="J31" s="4"/>
      <c r="K31" s="110">
        <f>(I31+J31)*H31</f>
        <v>0</v>
      </c>
      <c r="L31" s="47"/>
      <c r="M31" s="48">
        <f>IF($B$4="Nulemission",$B31*($F31+$K31),"0,00")</f>
        <v>0</v>
      </c>
      <c r="N31" s="49" t="str">
        <f>IF($B$4="Diesel",$B31*($F31+$K31),"0,00")</f>
        <v>0,00</v>
      </c>
      <c r="O31" s="50">
        <f t="shared" ref="O31:O32" si="4">M31+N31</f>
        <v>0</v>
      </c>
    </row>
    <row r="32" spans="1:15" ht="15.75" x14ac:dyDescent="0.3">
      <c r="A32" s="148"/>
      <c r="B32" s="44">
        <f>IF($B$4='Ark2'!$A$3,2,2)</f>
        <v>2</v>
      </c>
      <c r="C32" s="9"/>
      <c r="D32" s="7"/>
      <c r="E32" s="4"/>
      <c r="F32" s="110">
        <f>E32*D32*12</f>
        <v>0</v>
      </c>
      <c r="G32" s="51"/>
      <c r="H32" s="6"/>
      <c r="I32" s="4"/>
      <c r="J32" s="4"/>
      <c r="K32" s="110">
        <f>(I32+J32)*H32</f>
        <v>0</v>
      </c>
      <c r="L32" s="47"/>
      <c r="M32" s="48">
        <f>IF($B$4="Nulemission",$B32*($F32+$K32),"0,00")</f>
        <v>0</v>
      </c>
      <c r="N32" s="49" t="str">
        <f>IF($B$4="Diesel",$B32*($F32+$K32),"0,00")</f>
        <v>0,00</v>
      </c>
      <c r="O32" s="50">
        <f t="shared" si="4"/>
        <v>0</v>
      </c>
    </row>
    <row r="33" spans="1:15" ht="15.75" x14ac:dyDescent="0.3">
      <c r="A33" s="52"/>
      <c r="B33" s="58"/>
      <c r="C33" s="44"/>
      <c r="D33" s="10">
        <f>SUM(D30:D32)</f>
        <v>0</v>
      </c>
      <c r="E33" s="53"/>
      <c r="F33" s="54"/>
      <c r="H33" s="46">
        <f>SUM(H30:H32)</f>
        <v>0</v>
      </c>
      <c r="I33" s="53"/>
      <c r="J33" s="53"/>
      <c r="K33" s="54"/>
      <c r="M33" s="55">
        <f>SUM(M30:M32)</f>
        <v>0</v>
      </c>
      <c r="N33" s="97">
        <f>SUM(N30:N32)</f>
        <v>0</v>
      </c>
      <c r="O33" s="97">
        <f>SUM(O30:O32)</f>
        <v>0</v>
      </c>
    </row>
    <row r="34" spans="1:15" x14ac:dyDescent="0.25">
      <c r="A34" s="52"/>
      <c r="B34" s="58"/>
      <c r="C34" s="58"/>
      <c r="F34" s="54"/>
      <c r="H34" s="59"/>
      <c r="K34" s="54"/>
      <c r="M34" s="55"/>
      <c r="N34" s="57"/>
      <c r="O34" s="60"/>
    </row>
    <row r="35" spans="1:15" ht="45" x14ac:dyDescent="0.3">
      <c r="A35" s="41" t="s">
        <v>9</v>
      </c>
      <c r="B35" s="32" t="s">
        <v>31</v>
      </c>
      <c r="C35" s="44"/>
      <c r="D35" s="44"/>
      <c r="E35" s="42" t="s">
        <v>28</v>
      </c>
      <c r="F35" s="43" t="s">
        <v>9</v>
      </c>
      <c r="G35" s="40"/>
      <c r="H35" s="137"/>
      <c r="I35" s="138"/>
      <c r="J35" s="138"/>
      <c r="K35" s="139"/>
      <c r="L35" s="23"/>
      <c r="M35" s="61"/>
      <c r="N35" s="62"/>
      <c r="O35" s="63"/>
    </row>
    <row r="36" spans="1:15" ht="15.75" x14ac:dyDescent="0.3">
      <c r="A36" s="41"/>
      <c r="B36" s="44">
        <f>IF($B$4='Ark2'!$A$3,2,2)</f>
        <v>2</v>
      </c>
      <c r="C36" s="44"/>
      <c r="D36" s="53"/>
      <c r="E36" s="4"/>
      <c r="F36" s="45">
        <f>E36*12</f>
        <v>0</v>
      </c>
      <c r="G36" s="40"/>
      <c r="H36" s="64"/>
      <c r="I36" s="65"/>
      <c r="J36" s="66"/>
      <c r="K36" s="67"/>
      <c r="L36" s="40"/>
      <c r="M36" s="68">
        <f>IF($B$4='Ark2'!$A$3,$B36*($F36+$K36),"0,00")</f>
        <v>0</v>
      </c>
      <c r="N36" s="69" t="str">
        <f>IF($B$4='Ark2'!$A$4,$B36*($F36+$K36),"0,00")</f>
        <v>0,00</v>
      </c>
      <c r="O36" s="70">
        <f t="shared" ref="O36" si="5">M36+N36</f>
        <v>0</v>
      </c>
    </row>
    <row r="37" spans="1:15" ht="15.75" x14ac:dyDescent="0.3">
      <c r="A37" s="71"/>
      <c r="C37" s="58"/>
      <c r="F37" s="72"/>
      <c r="G37" s="40"/>
      <c r="H37" s="3"/>
      <c r="I37" s="73"/>
      <c r="J37" s="73"/>
      <c r="K37" s="74"/>
      <c r="L37" s="47"/>
      <c r="M37" s="75"/>
      <c r="N37" s="56"/>
      <c r="O37" s="57"/>
    </row>
    <row r="38" spans="1:15" ht="45" x14ac:dyDescent="0.3">
      <c r="A38" s="41"/>
      <c r="B38" s="32" t="s">
        <v>31</v>
      </c>
      <c r="C38" s="42"/>
      <c r="D38" s="44"/>
      <c r="E38" s="44"/>
      <c r="F38" s="43"/>
      <c r="G38" s="21"/>
      <c r="H38" s="41" t="s">
        <v>18</v>
      </c>
      <c r="I38" s="44" t="s">
        <v>19</v>
      </c>
      <c r="J38" s="73"/>
      <c r="K38" s="43" t="s">
        <v>20</v>
      </c>
      <c r="L38" s="47"/>
      <c r="M38" s="61"/>
      <c r="N38" s="62"/>
      <c r="O38" s="63"/>
    </row>
    <row r="39" spans="1:15" ht="16.5" thickBot="1" x14ac:dyDescent="0.35">
      <c r="A39" s="77" t="s">
        <v>17</v>
      </c>
      <c r="B39" s="44">
        <f>IF($B$4='Ark2'!$A$3,2,2)</f>
        <v>2</v>
      </c>
      <c r="C39" s="78"/>
      <c r="D39" s="78"/>
      <c r="E39" s="78"/>
      <c r="F39" s="2"/>
      <c r="G39" s="1"/>
      <c r="H39" s="98">
        <f>$B$9</f>
        <v>0</v>
      </c>
      <c r="I39" s="5"/>
      <c r="J39" s="99"/>
      <c r="K39" s="45">
        <f>H39*I39</f>
        <v>0</v>
      </c>
      <c r="L39" s="47"/>
      <c r="M39" s="68">
        <f>IF($B$4='Ark2'!$A$3,$B39*($F39+$K39),"0,00")</f>
        <v>0</v>
      </c>
      <c r="N39" s="69" t="str">
        <f>IF($B$4='Ark2'!$A$4,$B39*($F39+$K39),"0,00")</f>
        <v>0,00</v>
      </c>
      <c r="O39" s="81">
        <f t="shared" ref="O39" si="6">M39+N39</f>
        <v>0</v>
      </c>
    </row>
    <row r="40" spans="1:15" ht="15.75" thickBot="1" x14ac:dyDescent="0.3">
      <c r="A40" s="82" t="s">
        <v>38</v>
      </c>
      <c r="B40" s="83"/>
      <c r="C40" s="83"/>
      <c r="D40" s="83"/>
      <c r="E40" s="83"/>
      <c r="F40" s="84">
        <f>SUM(F30:F32)+F36</f>
        <v>0</v>
      </c>
      <c r="H40" s="85"/>
      <c r="I40" s="83"/>
      <c r="J40" s="83"/>
      <c r="K40" s="84">
        <f>SUM(K30:K32)+K39</f>
        <v>0</v>
      </c>
      <c r="M40" s="87">
        <f>M33+M36+M39</f>
        <v>0</v>
      </c>
      <c r="N40" s="87">
        <f>N33+N36+N39</f>
        <v>0</v>
      </c>
      <c r="O40" s="87">
        <f>O33+O36+O39</f>
        <v>0</v>
      </c>
    </row>
    <row r="41" spans="1:15" ht="15.75" thickBot="1" x14ac:dyDescent="0.3">
      <c r="A41" s="88"/>
      <c r="H41" s="88"/>
      <c r="M41" s="89"/>
      <c r="N41" s="90"/>
      <c r="O41" s="90"/>
    </row>
    <row r="42" spans="1:15" ht="15.75" thickBot="1" x14ac:dyDescent="0.3">
      <c r="A42" s="15" t="str">
        <f>IF($B$4 = 'Ark2'!$A$3, "Option kontraktperiode (Januar 2041-Januar 2043) - 2 år - Nulemission", "Skal ikke udfyldes")</f>
        <v>Option kontraktperiode (Januar 2041-Januar 2043) - 2 år - Nulemission</v>
      </c>
      <c r="B42" s="16"/>
      <c r="C42" s="16"/>
      <c r="D42" s="16"/>
      <c r="E42" s="16"/>
      <c r="F42" s="16"/>
      <c r="G42" s="16"/>
      <c r="H42" s="16"/>
      <c r="I42" s="16"/>
      <c r="J42" s="16"/>
      <c r="K42" s="16"/>
      <c r="L42" s="16"/>
      <c r="M42" s="91"/>
      <c r="N42" s="92"/>
      <c r="O42" s="93"/>
    </row>
    <row r="43" spans="1:15" ht="15.75" x14ac:dyDescent="0.3">
      <c r="A43" s="20"/>
      <c r="B43" s="21"/>
      <c r="C43" s="21"/>
      <c r="D43" s="144" t="s">
        <v>0</v>
      </c>
      <c r="E43" s="140"/>
      <c r="F43" s="141"/>
      <c r="G43" s="21"/>
      <c r="H43" s="145" t="s">
        <v>4</v>
      </c>
      <c r="I43" s="146"/>
      <c r="J43" s="146"/>
      <c r="K43" s="147"/>
      <c r="L43" s="23"/>
      <c r="M43" s="94"/>
      <c r="N43" s="95" t="s">
        <v>15</v>
      </c>
      <c r="O43" s="96"/>
    </row>
    <row r="44" spans="1:15" ht="105" x14ac:dyDescent="0.3">
      <c r="A44" s="100" t="str">
        <f>A29</f>
        <v>Middelfart bybus</v>
      </c>
      <c r="B44" s="32" t="s">
        <v>31</v>
      </c>
      <c r="C44" s="32" t="s">
        <v>14</v>
      </c>
      <c r="D44" s="32" t="s">
        <v>1</v>
      </c>
      <c r="E44" s="34" t="s">
        <v>2</v>
      </c>
      <c r="F44" s="35" t="s">
        <v>3</v>
      </c>
      <c r="G44" s="21"/>
      <c r="H44" s="64" t="s">
        <v>8</v>
      </c>
      <c r="I44" s="65" t="s">
        <v>5</v>
      </c>
      <c r="J44" s="66" t="s">
        <v>6</v>
      </c>
      <c r="K44" s="67" t="s">
        <v>7</v>
      </c>
      <c r="L44" s="40"/>
      <c r="M44" s="128" t="str">
        <f>M29</f>
        <v>Nulemission</v>
      </c>
      <c r="N44" s="102" t="str">
        <f>N29</f>
        <v>Diesel</v>
      </c>
      <c r="O44" s="103" t="s">
        <v>16</v>
      </c>
    </row>
    <row r="45" spans="1:15" ht="15.75" x14ac:dyDescent="0.3">
      <c r="A45" s="148" t="s">
        <v>13</v>
      </c>
      <c r="B45" s="44">
        <f>IF($B$4='Ark2'!$A$3,2,2)</f>
        <v>2</v>
      </c>
      <c r="C45" s="9"/>
      <c r="D45" s="7"/>
      <c r="E45" s="4"/>
      <c r="F45" s="110">
        <f>IF($B$4='Ark2'!$A$3,E45*D45*12,"0,00")</f>
        <v>0</v>
      </c>
      <c r="G45" s="21"/>
      <c r="H45" s="6"/>
      <c r="I45" s="4"/>
      <c r="J45" s="4"/>
      <c r="K45" s="110">
        <f>IF($B$4='Ark2'!$A$3,(I45+J45)*H45,"0,00")</f>
        <v>0</v>
      </c>
      <c r="L45" s="47"/>
      <c r="M45" s="48">
        <f>IF($B$4='Ark2'!$A$3,$B45*($F45+$K45),"0,00")</f>
        <v>0</v>
      </c>
      <c r="N45" s="49" t="str">
        <f>IF($B$4='Ark2'!$A$4,$B45*($F45+$K45),"0,00")</f>
        <v>0,00</v>
      </c>
      <c r="O45" s="50">
        <f>M45+N45</f>
        <v>0</v>
      </c>
    </row>
    <row r="46" spans="1:15" ht="15.75" x14ac:dyDescent="0.3">
      <c r="A46" s="148"/>
      <c r="B46" s="44">
        <f>IF($B$4='Ark2'!$A$3,2,2)</f>
        <v>2</v>
      </c>
      <c r="C46" s="9"/>
      <c r="D46" s="7"/>
      <c r="E46" s="4"/>
      <c r="F46" s="110">
        <f>IF($B$4='Ark2'!$A$3,E46*D46*12,"0,00")</f>
        <v>0</v>
      </c>
      <c r="G46" s="21"/>
      <c r="H46" s="6"/>
      <c r="I46" s="4"/>
      <c r="J46" s="4"/>
      <c r="K46" s="110">
        <f>IF($B$4='Ark2'!$A$3,(I46+J46)*H46,"0,00")</f>
        <v>0</v>
      </c>
      <c r="L46" s="47"/>
      <c r="M46" s="48">
        <f>IF($B$4='Ark2'!$A$3,$B46*($F46+$K46),"0,00")</f>
        <v>0</v>
      </c>
      <c r="N46" s="49" t="str">
        <f>IF($B$4='Ark2'!$A$4,$B46*($F46+$K46),"0,00")</f>
        <v>0,00</v>
      </c>
      <c r="O46" s="50">
        <f t="shared" ref="O46:O47" si="7">M46+N46</f>
        <v>0</v>
      </c>
    </row>
    <row r="47" spans="1:15" ht="15.75" x14ac:dyDescent="0.3">
      <c r="A47" s="148"/>
      <c r="B47" s="44">
        <f>IF($B$4='Ark2'!$A$3,2,2)</f>
        <v>2</v>
      </c>
      <c r="C47" s="9"/>
      <c r="D47" s="7"/>
      <c r="E47" s="4"/>
      <c r="F47" s="110">
        <f>IF($B$4='Ark2'!$A$3,E47*D47*12,"0,00")</f>
        <v>0</v>
      </c>
      <c r="G47" s="51"/>
      <c r="H47" s="6"/>
      <c r="I47" s="4"/>
      <c r="J47" s="4"/>
      <c r="K47" s="110">
        <f>IF($B$4='Ark2'!$A$3,(I47+J47)*H47,"0,00")</f>
        <v>0</v>
      </c>
      <c r="L47" s="47"/>
      <c r="M47" s="48">
        <f>IF($B$4='Ark2'!$A$3,$B47*($F47+$K47),"0,00")</f>
        <v>0</v>
      </c>
      <c r="N47" s="49" t="str">
        <f>IF($B$4='Ark2'!$A$4,$B47*($F47+$K47),"0,00")</f>
        <v>0,00</v>
      </c>
      <c r="O47" s="50">
        <f t="shared" si="7"/>
        <v>0</v>
      </c>
    </row>
    <row r="48" spans="1:15" ht="16.5" customHeight="1" x14ac:dyDescent="0.3">
      <c r="A48" s="52"/>
      <c r="B48" s="58"/>
      <c r="C48" s="44"/>
      <c r="D48" s="10">
        <f>SUM(D45:D47)</f>
        <v>0</v>
      </c>
      <c r="E48" s="53"/>
      <c r="F48" s="54"/>
      <c r="H48" s="46">
        <f>SUM(H45:H47)</f>
        <v>0</v>
      </c>
      <c r="I48" s="53"/>
      <c r="J48" s="53"/>
      <c r="K48" s="54"/>
      <c r="M48" s="75">
        <f>SUM(M45:M47)</f>
        <v>0</v>
      </c>
      <c r="N48" s="56">
        <f>SUM(N45:N47)</f>
        <v>0</v>
      </c>
      <c r="O48" s="57">
        <f>SUM(O45:O47)</f>
        <v>0</v>
      </c>
    </row>
    <row r="49" spans="1:15" x14ac:dyDescent="0.25">
      <c r="A49" s="52"/>
      <c r="B49" s="58"/>
      <c r="C49" s="58"/>
      <c r="F49" s="54"/>
      <c r="H49" s="59"/>
      <c r="K49" s="54"/>
      <c r="M49" s="55"/>
      <c r="N49" s="57"/>
      <c r="O49" s="60"/>
    </row>
    <row r="50" spans="1:15" ht="45" x14ac:dyDescent="0.3">
      <c r="A50" s="41" t="s">
        <v>9</v>
      </c>
      <c r="B50" s="32" t="s">
        <v>31</v>
      </c>
      <c r="C50" s="44"/>
      <c r="D50" s="44"/>
      <c r="E50" s="42" t="s">
        <v>28</v>
      </c>
      <c r="F50" s="43" t="s">
        <v>9</v>
      </c>
      <c r="G50" s="40"/>
      <c r="H50" s="137"/>
      <c r="I50" s="138"/>
      <c r="J50" s="138"/>
      <c r="K50" s="139"/>
      <c r="L50" s="23"/>
      <c r="M50" s="104"/>
      <c r="N50" s="62"/>
      <c r="O50" s="105"/>
    </row>
    <row r="51" spans="1:15" ht="15.75" x14ac:dyDescent="0.3">
      <c r="A51" s="41"/>
      <c r="B51" s="44">
        <f>IF($B$4="Nulemission",2,2)</f>
        <v>2</v>
      </c>
      <c r="C51" s="44"/>
      <c r="D51" s="53"/>
      <c r="E51" s="4"/>
      <c r="F51" s="45">
        <f>IF($B$4='Ark2'!$A$3,E51*12,"0,00")</f>
        <v>0</v>
      </c>
      <c r="G51" s="40"/>
      <c r="H51" s="64"/>
      <c r="I51" s="65"/>
      <c r="J51" s="66"/>
      <c r="K51" s="67"/>
      <c r="L51" s="40"/>
      <c r="M51" s="48">
        <f>IF($B$4='Ark2'!$A$3,$B51*($F51+$K51),"0,00")</f>
        <v>0</v>
      </c>
      <c r="N51" s="49" t="str">
        <f>IF($B$4='Ark2'!$A$4,$B51*($F51+$K51),"0,00")</f>
        <v>0,00</v>
      </c>
      <c r="O51" s="106">
        <f t="shared" ref="O51" si="8">M51+N51</f>
        <v>0</v>
      </c>
    </row>
    <row r="52" spans="1:15" ht="15.75" x14ac:dyDescent="0.3">
      <c r="A52" s="71"/>
      <c r="C52" s="58"/>
      <c r="F52" s="72"/>
      <c r="G52" s="40"/>
      <c r="H52" s="3"/>
      <c r="I52" s="73"/>
      <c r="J52" s="73"/>
      <c r="K52" s="74"/>
      <c r="L52" s="47"/>
      <c r="M52" s="75"/>
      <c r="N52" s="56"/>
      <c r="O52" s="57"/>
    </row>
    <row r="53" spans="1:15" ht="54.75" customHeight="1" x14ac:dyDescent="0.3">
      <c r="A53" s="41"/>
      <c r="B53" s="32" t="s">
        <v>31</v>
      </c>
      <c r="C53" s="42"/>
      <c r="D53" s="44"/>
      <c r="E53" s="44"/>
      <c r="F53" s="43"/>
      <c r="G53" s="21"/>
      <c r="H53" s="41" t="s">
        <v>18</v>
      </c>
      <c r="I53" s="44" t="s">
        <v>19</v>
      </c>
      <c r="J53" s="76"/>
      <c r="K53" s="43" t="s">
        <v>20</v>
      </c>
      <c r="L53" s="47"/>
      <c r="M53" s="61"/>
      <c r="N53" s="62"/>
      <c r="O53" s="63"/>
    </row>
    <row r="54" spans="1:15" ht="16.5" thickBot="1" x14ac:dyDescent="0.35">
      <c r="A54" s="77" t="s">
        <v>17</v>
      </c>
      <c r="B54" s="44">
        <f>IF($B$4="Nulemission",2,2)</f>
        <v>2</v>
      </c>
      <c r="C54" s="78"/>
      <c r="D54" s="78"/>
      <c r="E54" s="78"/>
      <c r="F54" s="2"/>
      <c r="G54" s="1"/>
      <c r="H54" s="8">
        <f>$B$9</f>
        <v>0</v>
      </c>
      <c r="I54" s="4"/>
      <c r="J54" s="76"/>
      <c r="K54" s="45">
        <f>IF($B$4='Ark2'!$A$3,H54*I54,"0,00")</f>
        <v>0</v>
      </c>
      <c r="L54" s="47"/>
      <c r="M54" s="48">
        <f>IF($B$4='Ark2'!$A$3,$B54*($F54+$K54),"0,00")</f>
        <v>0</v>
      </c>
      <c r="N54" s="49" t="str">
        <f>IF($B$4='Ark2'!$A$4,$B54*($F54+$K54),"0,00")</f>
        <v>0,00</v>
      </c>
      <c r="O54" s="107">
        <f t="shared" ref="O54" si="9">M54+N54</f>
        <v>0</v>
      </c>
    </row>
    <row r="55" spans="1:15" ht="15.75" thickBot="1" x14ac:dyDescent="0.3">
      <c r="A55" s="82" t="s">
        <v>38</v>
      </c>
      <c r="B55" s="83"/>
      <c r="C55" s="83"/>
      <c r="D55" s="83"/>
      <c r="E55" s="83"/>
      <c r="F55" s="84">
        <f>SUM(F45:F47)+F51</f>
        <v>0</v>
      </c>
      <c r="H55" s="85"/>
      <c r="I55" s="83"/>
      <c r="J55" s="83"/>
      <c r="K55" s="84">
        <f>SUM(K45:K47)+K54</f>
        <v>0</v>
      </c>
      <c r="M55" s="87">
        <f>M48+M51+M54</f>
        <v>0</v>
      </c>
      <c r="N55" s="87">
        <f>N48+N51+N54</f>
        <v>0</v>
      </c>
      <c r="O55" s="87">
        <f>O48+O51+O54</f>
        <v>0</v>
      </c>
    </row>
    <row r="56" spans="1:15" x14ac:dyDescent="0.25">
      <c r="A56" s="59"/>
      <c r="M56" s="89"/>
      <c r="N56" s="90"/>
      <c r="O56" s="90"/>
    </row>
    <row r="57" spans="1:15" ht="15.75" thickBot="1" x14ac:dyDescent="0.3">
      <c r="A57" s="59"/>
      <c r="M57" s="89"/>
      <c r="N57" s="90"/>
      <c r="O57" s="90"/>
    </row>
    <row r="58" spans="1:15" ht="15.75" thickBot="1" x14ac:dyDescent="0.3">
      <c r="A58" s="59"/>
      <c r="F58" s="108" t="str">
        <f>IF($B$4="Nulemission",_xlfn.CONCAT("Total ",A14," - ",'Ark2'!$A$3," - 16 år"),_xlfn.CONCAT("Total ",A14," - ",'Ark2'!$A$4," - 4 år + 6*2 år"))</f>
        <v>Total Middelfart bybus - Nulemission - 16 år</v>
      </c>
      <c r="M58" s="87">
        <f>M55+M40+M25</f>
        <v>0</v>
      </c>
      <c r="N58" s="87">
        <f>N55+N40+N25</f>
        <v>0</v>
      </c>
      <c r="O58" s="87">
        <f>O55+O40+O25</f>
        <v>0</v>
      </c>
    </row>
    <row r="59" spans="1:15" x14ac:dyDescent="0.25">
      <c r="A59" s="59"/>
      <c r="M59" s="109"/>
    </row>
    <row r="60" spans="1:15" x14ac:dyDescent="0.25">
      <c r="A60" s="59"/>
    </row>
    <row r="63" spans="1:15" ht="16.5" customHeight="1" x14ac:dyDescent="0.25"/>
    <row r="66" customFormat="1" ht="15.75" customHeight="1" x14ac:dyDescent="0.25"/>
  </sheetData>
  <sheetProtection algorithmName="SHA-512" hashValue="nVRIJ7e4j540SAZmlp2Eg1OoALa6m9bUyPeSSUhxfMwTIN/nLucpAD4ZcoZB60G3adq45Cv+uiVcWi45REUtoQ==" saltValue="yTWpuuZ05fUGuzzJ7Vy7Ug==" spinCount="100000" sheet="1" objects="1" scenarios="1"/>
  <protectedRanges>
    <protectedRange sqref="F21" name="F1"/>
    <protectedRange sqref="E15:E17 E30:E32 E45:E47" name="P3 B"/>
    <protectedRange sqref="I39 I54 G23:G24 F22:F23 K23 G38:G39 F37:F38 K38 G53:G54 F52:F53 K53 I24" name="P3 Ø"/>
    <protectedRange sqref="F21" name="P3 C"/>
    <protectedRange sqref="I15:I17 I30:I32 I45:I47" name="P3 Ø_1"/>
    <protectedRange sqref="J15:J17 J30:J32 J45:J47" name="P3 C_1"/>
    <protectedRange sqref="F36" name="F1_1_1"/>
    <protectedRange sqref="F36" name="P3 C_2_1"/>
  </protectedRanges>
  <mergeCells count="12">
    <mergeCell ref="H50:K50"/>
    <mergeCell ref="D12:F12"/>
    <mergeCell ref="H12:K12"/>
    <mergeCell ref="A15:A17"/>
    <mergeCell ref="H20:K20"/>
    <mergeCell ref="D28:F28"/>
    <mergeCell ref="H28:K28"/>
    <mergeCell ref="A30:A32"/>
    <mergeCell ref="H35:K35"/>
    <mergeCell ref="D43:F43"/>
    <mergeCell ref="H43:K43"/>
    <mergeCell ref="A45:A47"/>
  </mergeCells>
  <conditionalFormatting sqref="H18">
    <cfRule type="cellIs" dxfId="17" priority="8" operator="notEqual">
      <formula>$B$8</formula>
    </cfRule>
    <cfRule type="expression" dxfId="16" priority="9">
      <formula>SUM($H$15:$H$17)=$B$8</formula>
    </cfRule>
  </conditionalFormatting>
  <conditionalFormatting sqref="H33">
    <cfRule type="cellIs" dxfId="15" priority="1" operator="notEqual">
      <formula>$B$8</formula>
    </cfRule>
    <cfRule type="expression" dxfId="14" priority="2">
      <formula>SUM($H$15:$H$17)=$B$8</formula>
    </cfRule>
  </conditionalFormatting>
  <conditionalFormatting sqref="H48">
    <cfRule type="cellIs" dxfId="13" priority="5" operator="notEqual">
      <formula>$B$8</formula>
    </cfRule>
    <cfRule type="expression" dxfId="12" priority="6">
      <formula>SUM($H$45:$H$47)=$B$8</formula>
    </cfRule>
  </conditionalFormatting>
  <pageMargins left="0.23622047244094491" right="0.23622047244094491" top="0.94488188976377963" bottom="0.74803149606299213" header="0.31496062992125984" footer="0.31496062992125984"/>
  <pageSetup paperSize="9" scale="36" orientation="portrait" r:id="rId1"/>
  <headerFooter>
    <oddHeader xml:space="preserve">&amp;L&amp;10FynBus, 9. februar 2024 
Udbud af emissionsfri buskørsel i Svendborg By
J.nr. 202311-40216 </oddHeader>
  </headerFooter>
  <colBreaks count="1" manualBreakCount="1">
    <brk id="15" max="51"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6D48B82-A3BE-41DE-8B53-D3982B142BD1}">
          <x14:formula1>
            <xm:f>'Ark2'!$G$2:$G$5</xm:f>
          </x14:formula1>
          <xm:sqref>C15:C17 C30:C32 C45:C47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E0551-78E1-416B-B8A1-7E737684F86E}">
  <dimension ref="A1:O66"/>
  <sheetViews>
    <sheetView zoomScale="90" zoomScaleNormal="90" zoomScaleSheetLayoutView="100" workbookViewId="0">
      <selection activeCell="B4" sqref="B4"/>
    </sheetView>
  </sheetViews>
  <sheetFormatPr defaultRowHeight="15" x14ac:dyDescent="0.25"/>
  <cols>
    <col min="1" max="1" width="33.85546875" customWidth="1"/>
    <col min="2" max="2" width="18.42578125" customWidth="1"/>
    <col min="3" max="4" width="19" customWidth="1"/>
    <col min="5" max="5" width="14.28515625" customWidth="1"/>
    <col min="6" max="6" width="21.140625" customWidth="1"/>
    <col min="7" max="7" width="11.7109375" customWidth="1"/>
    <col min="8" max="8" width="10.5703125" customWidth="1"/>
    <col min="9" max="9" width="14.5703125" customWidth="1"/>
    <col min="11" max="11" width="19.5703125" customWidth="1"/>
    <col min="12" max="12" width="11.7109375" customWidth="1"/>
    <col min="13" max="13" width="20.85546875" customWidth="1"/>
    <col min="14" max="14" width="17.28515625" customWidth="1"/>
    <col min="15" max="15" width="24.5703125" customWidth="1"/>
    <col min="16" max="16" width="21.85546875" customWidth="1"/>
    <col min="18" max="18" width="20.42578125" customWidth="1"/>
  </cols>
  <sheetData>
    <row r="1" spans="1:15" ht="33" customHeight="1" x14ac:dyDescent="0.25">
      <c r="A1" s="11" t="str">
        <f>_xlfn.CONCAT("Tilbudsskema - Fælles udbud - pakke 1 - Delkontrakt 5 - ", A14)</f>
        <v>Tilbudsskema - Fælles udbud - pakke 1 - Delkontrakt 5 - Middelfart lokal</v>
      </c>
      <c r="B1" s="11"/>
      <c r="C1" s="11"/>
      <c r="D1" s="11"/>
    </row>
    <row r="2" spans="1:15" ht="141.75" customHeight="1" x14ac:dyDescent="0.25">
      <c r="A2" s="12"/>
      <c r="B2" s="12"/>
      <c r="C2" s="12"/>
      <c r="D2" s="12"/>
    </row>
    <row r="3" spans="1:15" ht="197.25" customHeight="1" x14ac:dyDescent="0.25">
      <c r="A3" s="12"/>
      <c r="B3" s="12"/>
      <c r="C3" s="12"/>
      <c r="D3" s="12"/>
    </row>
    <row r="4" spans="1:15" ht="16.5" customHeight="1" x14ac:dyDescent="0.25">
      <c r="A4" s="13" t="s">
        <v>10</v>
      </c>
      <c r="B4" s="127" t="s">
        <v>11</v>
      </c>
      <c r="C4" s="12"/>
      <c r="D4" s="12"/>
    </row>
    <row r="5" spans="1:15" ht="19.5" customHeight="1" x14ac:dyDescent="0.25">
      <c r="A5" s="12"/>
      <c r="B5" s="12"/>
      <c r="C5" s="12"/>
      <c r="D5" s="12"/>
    </row>
    <row r="6" spans="1:15" ht="19.5" customHeight="1" x14ac:dyDescent="0.25">
      <c r="A6" s="12" t="s">
        <v>32</v>
      </c>
      <c r="B6" s="12"/>
      <c r="C6" s="12"/>
      <c r="D6" s="12"/>
    </row>
    <row r="7" spans="1:15" ht="19.5" customHeight="1" x14ac:dyDescent="0.25">
      <c r="A7" s="12" t="s">
        <v>33</v>
      </c>
      <c r="B7" s="12">
        <v>10</v>
      </c>
      <c r="C7" s="12"/>
      <c r="D7" s="12"/>
    </row>
    <row r="8" spans="1:15" ht="19.5" customHeight="1" x14ac:dyDescent="0.25">
      <c r="A8" s="12" t="s">
        <v>34</v>
      </c>
      <c r="B8" s="14">
        <v>7125</v>
      </c>
      <c r="C8" s="12"/>
      <c r="D8" s="12"/>
    </row>
    <row r="9" spans="1:15" ht="19.5" customHeight="1" x14ac:dyDescent="0.25">
      <c r="A9" s="12" t="s">
        <v>36</v>
      </c>
      <c r="B9" s="14">
        <v>0</v>
      </c>
      <c r="C9" s="12"/>
      <c r="D9" s="12"/>
    </row>
    <row r="10" spans="1:15" ht="19.5" customHeight="1" thickBot="1" x14ac:dyDescent="0.3">
      <c r="A10" s="12"/>
      <c r="B10" s="12"/>
      <c r="C10" s="12"/>
      <c r="D10" s="12"/>
    </row>
    <row r="11" spans="1:15" ht="15.75" thickBot="1" x14ac:dyDescent="0.3">
      <c r="A11" s="15" t="str">
        <f>IF($B$4 = 'Ark2'!$A$3, "Ordinær kontraktperiode (Januar 2027-Januar 2039) - 12 år - Nulemission", "Ordinær kontraktperiode (Januar 2027-Januar 2031) - 4 år - Diesel")</f>
        <v>Ordinær kontraktperiode (Januar 2027-Januar 2031) - 4 år - Diesel</v>
      </c>
      <c r="B11" s="16"/>
      <c r="C11" s="16"/>
      <c r="D11" s="16"/>
      <c r="E11" s="16"/>
      <c r="F11" s="16"/>
      <c r="G11" s="16"/>
      <c r="H11" s="16"/>
      <c r="I11" s="16"/>
      <c r="J11" s="16"/>
      <c r="K11" s="16"/>
      <c r="L11" s="16"/>
      <c r="M11" s="17"/>
      <c r="N11" s="18"/>
      <c r="O11" s="19"/>
    </row>
    <row r="12" spans="1:15" ht="20.25" customHeight="1" x14ac:dyDescent="0.3">
      <c r="A12" s="20"/>
      <c r="B12" s="21"/>
      <c r="C12" s="22"/>
      <c r="D12" s="140" t="s">
        <v>0</v>
      </c>
      <c r="E12" s="140"/>
      <c r="F12" s="141"/>
      <c r="G12" s="21"/>
      <c r="H12" s="142" t="s">
        <v>4</v>
      </c>
      <c r="I12" s="140"/>
      <c r="J12" s="140"/>
      <c r="K12" s="141"/>
      <c r="L12" s="23"/>
      <c r="M12" s="134" t="s">
        <v>15</v>
      </c>
      <c r="N12" s="135"/>
      <c r="O12" s="136"/>
    </row>
    <row r="13" spans="1:15" ht="16.5" thickBot="1" x14ac:dyDescent="0.35">
      <c r="A13" s="21"/>
      <c r="B13" s="21"/>
      <c r="C13" s="27"/>
      <c r="D13" s="21"/>
      <c r="E13" s="28"/>
      <c r="F13" s="29"/>
      <c r="G13" s="21"/>
      <c r="H13" s="30"/>
      <c r="I13" s="23"/>
      <c r="J13" s="23"/>
      <c r="K13" s="31"/>
      <c r="L13" s="23"/>
      <c r="M13" s="24"/>
      <c r="N13" s="25"/>
      <c r="O13" s="26"/>
    </row>
    <row r="14" spans="1:15" ht="105" x14ac:dyDescent="0.3">
      <c r="A14" s="32" t="s">
        <v>21</v>
      </c>
      <c r="B14" s="32" t="s">
        <v>31</v>
      </c>
      <c r="C14" s="33" t="s">
        <v>14</v>
      </c>
      <c r="D14" s="32" t="s">
        <v>1</v>
      </c>
      <c r="E14" s="34" t="s">
        <v>2</v>
      </c>
      <c r="F14" s="35" t="s">
        <v>3</v>
      </c>
      <c r="G14" s="21"/>
      <c r="H14" s="36" t="s">
        <v>8</v>
      </c>
      <c r="I14" s="37" t="s">
        <v>5</v>
      </c>
      <c r="J14" s="38" t="s">
        <v>6</v>
      </c>
      <c r="K14" s="39" t="s">
        <v>7</v>
      </c>
      <c r="L14" s="40"/>
      <c r="M14" s="41" t="str">
        <f>'Ark2'!$A$3</f>
        <v>Nulemission</v>
      </c>
      <c r="N14" s="41" t="str">
        <f>'Ark2'!$A$4</f>
        <v>Diesel</v>
      </c>
      <c r="O14" s="43" t="s">
        <v>16</v>
      </c>
    </row>
    <row r="15" spans="1:15" ht="30" customHeight="1" x14ac:dyDescent="0.3">
      <c r="A15" s="143" t="s">
        <v>13</v>
      </c>
      <c r="B15" s="44">
        <f>IF($B$4='Ark2'!$A$3,12,4)</f>
        <v>4</v>
      </c>
      <c r="C15" s="9"/>
      <c r="D15" s="7"/>
      <c r="E15" s="4"/>
      <c r="F15" s="45">
        <f>E15*D15*12</f>
        <v>0</v>
      </c>
      <c r="G15" s="21"/>
      <c r="H15" s="6"/>
      <c r="I15" s="4"/>
      <c r="J15" s="4"/>
      <c r="K15" s="45">
        <f>(I15+J15)*H15</f>
        <v>0</v>
      </c>
      <c r="L15" s="47"/>
      <c r="M15" s="48" t="str">
        <f>IF($B$4='Ark2'!$A$3,$B15*($F15+$K15),"0,00")</f>
        <v>0,00</v>
      </c>
      <c r="N15" s="49">
        <f>IF($B$4='Ark2'!$A$4,$B15*($F15+$K15),"0,00")</f>
        <v>0</v>
      </c>
      <c r="O15" s="50">
        <f t="shared" ref="O15:O17" si="0">M15+N15</f>
        <v>0</v>
      </c>
    </row>
    <row r="16" spans="1:15" ht="15.75" x14ac:dyDescent="0.3">
      <c r="A16" s="143"/>
      <c r="B16" s="44">
        <f>IF($B$4='Ark2'!$A$3,12,4)</f>
        <v>4</v>
      </c>
      <c r="C16" s="9"/>
      <c r="D16" s="7"/>
      <c r="E16" s="4"/>
      <c r="F16" s="45">
        <f>E16*D16*12</f>
        <v>0</v>
      </c>
      <c r="G16" s="21"/>
      <c r="H16" s="6"/>
      <c r="I16" s="4"/>
      <c r="J16" s="4"/>
      <c r="K16" s="45">
        <f t="shared" ref="K16:K17" si="1">(I16+J16)*H16</f>
        <v>0</v>
      </c>
      <c r="L16" s="47"/>
      <c r="M16" s="48" t="str">
        <f>IF($B$4='Ark2'!$A$3,$B16*($F16+$K16),"0,00")</f>
        <v>0,00</v>
      </c>
      <c r="N16" s="49">
        <f>IF($B$4='Ark2'!$A$4,$B16*($F16+$K16),"0,00")</f>
        <v>0</v>
      </c>
      <c r="O16" s="50">
        <f t="shared" si="0"/>
        <v>0</v>
      </c>
    </row>
    <row r="17" spans="1:15" ht="15.75" x14ac:dyDescent="0.3">
      <c r="A17" s="143"/>
      <c r="B17" s="44">
        <f>IF($B$4='Ark2'!$A$3,12,4)</f>
        <v>4</v>
      </c>
      <c r="C17" s="9"/>
      <c r="D17" s="7"/>
      <c r="E17" s="4"/>
      <c r="F17" s="45">
        <f>E17*D17*12</f>
        <v>0</v>
      </c>
      <c r="G17" s="51"/>
      <c r="H17" s="6"/>
      <c r="I17" s="4"/>
      <c r="J17" s="4"/>
      <c r="K17" s="45">
        <f t="shared" si="1"/>
        <v>0</v>
      </c>
      <c r="L17" s="47"/>
      <c r="M17" s="48" t="str">
        <f>IF($B$4='Ark2'!$A$3,$B17*($F17+$K17),"0,00")</f>
        <v>0,00</v>
      </c>
      <c r="N17" s="49">
        <f>IF($B$4='Ark2'!$A$4,$B17*($F17+$K17),"0,00")</f>
        <v>0</v>
      </c>
      <c r="O17" s="50">
        <f t="shared" si="0"/>
        <v>0</v>
      </c>
    </row>
    <row r="18" spans="1:15" ht="15.75" x14ac:dyDescent="0.3">
      <c r="A18" s="52"/>
      <c r="B18" s="44"/>
      <c r="C18" s="44"/>
      <c r="D18" s="10">
        <f>SUM(D15:D17)</f>
        <v>0</v>
      </c>
      <c r="E18" s="53"/>
      <c r="F18" s="54"/>
      <c r="H18" s="46">
        <f>SUM(H15:H17)</f>
        <v>0</v>
      </c>
      <c r="I18" s="53"/>
      <c r="J18" s="53"/>
      <c r="K18" s="54"/>
      <c r="M18" s="55">
        <f>SUM(M15:M17)</f>
        <v>0</v>
      </c>
      <c r="N18" s="56">
        <f>SUM(N15:N17)</f>
        <v>0</v>
      </c>
      <c r="O18" s="57">
        <f>SUM(O15:O17)</f>
        <v>0</v>
      </c>
    </row>
    <row r="19" spans="1:15" x14ac:dyDescent="0.25">
      <c r="A19" s="52"/>
      <c r="B19" s="58"/>
      <c r="C19" s="58"/>
      <c r="F19" s="54"/>
      <c r="H19" s="59"/>
      <c r="K19" s="54"/>
      <c r="M19" s="55"/>
      <c r="N19" s="57"/>
      <c r="O19" s="60"/>
    </row>
    <row r="20" spans="1:15" ht="48" customHeight="1" x14ac:dyDescent="0.3">
      <c r="A20" s="41" t="s">
        <v>37</v>
      </c>
      <c r="B20" s="32" t="s">
        <v>31</v>
      </c>
      <c r="C20" s="44"/>
      <c r="D20" s="44"/>
      <c r="E20" s="42" t="s">
        <v>28</v>
      </c>
      <c r="F20" s="43" t="s">
        <v>9</v>
      </c>
      <c r="G20" s="40"/>
      <c r="H20" s="137"/>
      <c r="I20" s="138"/>
      <c r="J20" s="138"/>
      <c r="K20" s="139"/>
      <c r="L20" s="23"/>
      <c r="M20" s="61"/>
      <c r="N20" s="62"/>
      <c r="O20" s="63"/>
    </row>
    <row r="21" spans="1:15" ht="15.75" x14ac:dyDescent="0.3">
      <c r="A21" s="41"/>
      <c r="B21" s="44">
        <f>IF($B$4='Ark2'!$A$3,12,4)</f>
        <v>4</v>
      </c>
      <c r="C21" s="44"/>
      <c r="D21" s="53"/>
      <c r="E21" s="4"/>
      <c r="F21" s="45">
        <f>E21*12</f>
        <v>0</v>
      </c>
      <c r="G21" s="40"/>
      <c r="H21" s="64"/>
      <c r="I21" s="65"/>
      <c r="J21" s="66"/>
      <c r="K21" s="67"/>
      <c r="L21" s="40"/>
      <c r="M21" s="68" t="str">
        <f>IF($B$4='Ark2'!$A$3,$B21*($E21+$K21)*12,"0,00")</f>
        <v>0,00</v>
      </c>
      <c r="N21" s="69">
        <f>IF($B$4='Ark2'!$A$4,$B21*($F21+$K21),"0,00")</f>
        <v>0</v>
      </c>
      <c r="O21" s="70">
        <f t="shared" ref="O21" si="2">M21+N21</f>
        <v>0</v>
      </c>
    </row>
    <row r="22" spans="1:15" ht="15.75" x14ac:dyDescent="0.3">
      <c r="A22" s="71"/>
      <c r="C22" s="58"/>
      <c r="F22" s="72"/>
      <c r="G22" s="40"/>
      <c r="H22" s="3"/>
      <c r="I22" s="73"/>
      <c r="J22" s="73"/>
      <c r="K22" s="74"/>
      <c r="L22" s="47"/>
      <c r="M22" s="75"/>
      <c r="N22" s="56"/>
      <c r="O22" s="57"/>
    </row>
    <row r="23" spans="1:15" ht="45" x14ac:dyDescent="0.3">
      <c r="A23" s="42"/>
      <c r="B23" s="32" t="s">
        <v>31</v>
      </c>
      <c r="C23" s="42"/>
      <c r="D23" s="44"/>
      <c r="E23" s="44"/>
      <c r="F23" s="43"/>
      <c r="G23" s="21"/>
      <c r="H23" s="41" t="s">
        <v>18</v>
      </c>
      <c r="I23" s="44" t="s">
        <v>19</v>
      </c>
      <c r="J23" s="76"/>
      <c r="K23" s="43" t="s">
        <v>20</v>
      </c>
      <c r="L23" s="47"/>
      <c r="M23" s="61"/>
      <c r="N23" s="62"/>
      <c r="O23" s="63"/>
    </row>
    <row r="24" spans="1:15" ht="16.5" thickBot="1" x14ac:dyDescent="0.35">
      <c r="A24" s="77" t="s">
        <v>17</v>
      </c>
      <c r="B24" s="44">
        <f>IF($B$4='Ark2'!$A$3,12,4)</f>
        <v>4</v>
      </c>
      <c r="C24" s="78"/>
      <c r="D24" s="78"/>
      <c r="E24" s="78"/>
      <c r="F24" s="2"/>
      <c r="G24" s="1"/>
      <c r="H24" s="79">
        <f>$B$9</f>
        <v>0</v>
      </c>
      <c r="I24" s="5"/>
      <c r="J24" s="80"/>
      <c r="K24" s="45">
        <f>I24*H24</f>
        <v>0</v>
      </c>
      <c r="L24" s="47"/>
      <c r="M24" s="68" t="str">
        <f>IF($B$4='Ark2'!$A$3,$B24*($F24+$K24),"0,00")</f>
        <v>0,00</v>
      </c>
      <c r="N24" s="69">
        <f>IF($B$4='Ark2'!$A$4,$B24*($F24+$K24),"0,00")</f>
        <v>0</v>
      </c>
      <c r="O24" s="81">
        <f t="shared" ref="O24" si="3">M24+N24</f>
        <v>0</v>
      </c>
    </row>
    <row r="25" spans="1:15" ht="20.25" customHeight="1" thickBot="1" x14ac:dyDescent="0.3">
      <c r="A25" s="82" t="s">
        <v>38</v>
      </c>
      <c r="B25" s="83"/>
      <c r="C25" s="83"/>
      <c r="D25" s="83"/>
      <c r="E25" s="83"/>
      <c r="F25" s="84">
        <f>SUM(F15:F17)+F21</f>
        <v>0</v>
      </c>
      <c r="H25" s="85"/>
      <c r="I25" s="83"/>
      <c r="J25" s="83"/>
      <c r="K25" s="86">
        <f>SUM(K15:K17)+K24</f>
        <v>0</v>
      </c>
      <c r="M25" s="87">
        <f>M18+M21+M24</f>
        <v>0</v>
      </c>
      <c r="N25" s="87">
        <f>N18+N21+N24</f>
        <v>0</v>
      </c>
      <c r="O25" s="87">
        <f>O18+O21+O24</f>
        <v>0</v>
      </c>
    </row>
    <row r="26" spans="1:15" ht="15.75" thickBot="1" x14ac:dyDescent="0.3">
      <c r="A26" s="88"/>
      <c r="H26" s="88"/>
      <c r="M26" s="89"/>
      <c r="N26" s="90"/>
      <c r="O26" s="90"/>
    </row>
    <row r="27" spans="1:15" ht="15.75" thickBot="1" x14ac:dyDescent="0.3">
      <c r="A27" s="15" t="str">
        <f>IF($B$4 = 'Ark2'!$A$3, "Option kontraktperiode (Januar 2039-Januar 2041) - 2 år - Nulemission", "Option kontraktperiode (Januar 2031-Januar 2043) - 6*2 år - Diesel")</f>
        <v>Option kontraktperiode (Januar 2031-Januar 2043) - 6*2 år - Diesel</v>
      </c>
      <c r="B27" s="16"/>
      <c r="C27" s="16"/>
      <c r="D27" s="16"/>
      <c r="E27" s="16"/>
      <c r="F27" s="16"/>
      <c r="G27" s="16"/>
      <c r="H27" s="16"/>
      <c r="I27" s="16"/>
      <c r="J27" s="16"/>
      <c r="K27" s="16"/>
      <c r="L27" s="16"/>
      <c r="M27" s="91"/>
      <c r="N27" s="92"/>
      <c r="O27" s="93"/>
    </row>
    <row r="28" spans="1:15" ht="21" customHeight="1" x14ac:dyDescent="0.3">
      <c r="A28" s="20"/>
      <c r="B28" s="21"/>
      <c r="C28" s="21"/>
      <c r="D28" s="144" t="s">
        <v>0</v>
      </c>
      <c r="E28" s="140"/>
      <c r="F28" s="141"/>
      <c r="G28" s="21"/>
      <c r="H28" s="145" t="s">
        <v>4</v>
      </c>
      <c r="I28" s="146"/>
      <c r="J28" s="146"/>
      <c r="K28" s="147"/>
      <c r="L28" s="23"/>
      <c r="M28" s="94"/>
      <c r="N28" s="95" t="s">
        <v>15</v>
      </c>
      <c r="O28" s="96"/>
    </row>
    <row r="29" spans="1:15" ht="105" x14ac:dyDescent="0.3">
      <c r="A29" s="32" t="str">
        <f>A14</f>
        <v>Middelfart lokal</v>
      </c>
      <c r="B29" s="32" t="s">
        <v>31</v>
      </c>
      <c r="C29" s="33" t="s">
        <v>14</v>
      </c>
      <c r="D29" s="32" t="s">
        <v>1</v>
      </c>
      <c r="E29" s="34" t="s">
        <v>2</v>
      </c>
      <c r="F29" s="35" t="s">
        <v>3</v>
      </c>
      <c r="G29" s="21"/>
      <c r="H29" s="64" t="s">
        <v>8</v>
      </c>
      <c r="I29" s="65" t="s">
        <v>5</v>
      </c>
      <c r="J29" s="66" t="s">
        <v>6</v>
      </c>
      <c r="K29" s="67" t="s">
        <v>7</v>
      </c>
      <c r="L29" s="40"/>
      <c r="M29" s="41" t="str">
        <f>M14</f>
        <v>Nulemission</v>
      </c>
      <c r="N29" s="41" t="str">
        <f>N14</f>
        <v>Diesel</v>
      </c>
      <c r="O29" s="43" t="s">
        <v>16</v>
      </c>
    </row>
    <row r="30" spans="1:15" ht="15.75" x14ac:dyDescent="0.3">
      <c r="A30" s="148" t="s">
        <v>13</v>
      </c>
      <c r="B30" s="44" t="str">
        <f>IF($B$4='Ark2'!$A$3,2,"6*2 år")</f>
        <v>6*2 år</v>
      </c>
      <c r="C30" s="9"/>
      <c r="D30" s="7"/>
      <c r="E30" s="4"/>
      <c r="F30" s="110">
        <f>E30*D30*12</f>
        <v>0</v>
      </c>
      <c r="G30" s="21"/>
      <c r="H30" s="6"/>
      <c r="I30" s="4"/>
      <c r="J30" s="4"/>
      <c r="K30" s="110">
        <f>(I30+J30)*H30</f>
        <v>0</v>
      </c>
      <c r="L30" s="47"/>
      <c r="M30" s="48" t="str">
        <f>IF($B$4='Ark2'!$A$3,$B30*($F30+$K30),"0,00")</f>
        <v>0,00</v>
      </c>
      <c r="N30" s="49">
        <f>IF($B$4='Ark2'!$A$4,(6*2)*($F30+$K30),"0,00")</f>
        <v>0</v>
      </c>
      <c r="O30" s="50">
        <f>M30+N30</f>
        <v>0</v>
      </c>
    </row>
    <row r="31" spans="1:15" ht="15.75" x14ac:dyDescent="0.3">
      <c r="A31" s="148"/>
      <c r="B31" s="44" t="str">
        <f>IF($B$4='Ark2'!$A$3,2,"6*2 år")</f>
        <v>6*2 år</v>
      </c>
      <c r="C31" s="9"/>
      <c r="D31" s="7"/>
      <c r="E31" s="4"/>
      <c r="F31" s="110">
        <f>E31*D31*12</f>
        <v>0</v>
      </c>
      <c r="G31" s="21"/>
      <c r="H31" s="6"/>
      <c r="I31" s="4"/>
      <c r="J31" s="4"/>
      <c r="K31" s="110">
        <f>(I31+J31)*H31</f>
        <v>0</v>
      </c>
      <c r="L31" s="47"/>
      <c r="M31" s="48" t="str">
        <f>IF($B$4='Ark2'!$A$3,$B31*($F31+$K31),"0,00")</f>
        <v>0,00</v>
      </c>
      <c r="N31" s="49">
        <f>IF($B$4='Ark2'!$A$4,(6*2)*($F31+$K31),"0,00")</f>
        <v>0</v>
      </c>
      <c r="O31" s="50">
        <f t="shared" ref="O31:O32" si="4">M31+N31</f>
        <v>0</v>
      </c>
    </row>
    <row r="32" spans="1:15" ht="15.75" x14ac:dyDescent="0.3">
      <c r="A32" s="148"/>
      <c r="B32" s="44" t="str">
        <f>IF($B$4='Ark2'!$A$3,2,"6*2 år")</f>
        <v>6*2 år</v>
      </c>
      <c r="C32" s="9"/>
      <c r="D32" s="7"/>
      <c r="E32" s="4"/>
      <c r="F32" s="110">
        <f>E32*D32*12</f>
        <v>0</v>
      </c>
      <c r="G32" s="51"/>
      <c r="H32" s="6"/>
      <c r="I32" s="4"/>
      <c r="J32" s="4"/>
      <c r="K32" s="110">
        <f>(I32+J32)*H32</f>
        <v>0</v>
      </c>
      <c r="L32" s="47"/>
      <c r="M32" s="48" t="str">
        <f>IF($B$4='Ark2'!$A$3,$B32*($F32+$K32),"0,00")</f>
        <v>0,00</v>
      </c>
      <c r="N32" s="49">
        <f>IF($B$4='Ark2'!$A$4,(6*2)*($F32+$K32),"0,00")</f>
        <v>0</v>
      </c>
      <c r="O32" s="50">
        <f t="shared" si="4"/>
        <v>0</v>
      </c>
    </row>
    <row r="33" spans="1:15" ht="15.75" x14ac:dyDescent="0.3">
      <c r="A33" s="52"/>
      <c r="B33" s="58"/>
      <c r="C33" s="44"/>
      <c r="D33" s="10">
        <f>SUM(D30:D32)</f>
        <v>0</v>
      </c>
      <c r="E33" s="53"/>
      <c r="F33" s="54"/>
      <c r="H33" s="46">
        <f>SUM(H30:H32)</f>
        <v>0</v>
      </c>
      <c r="I33" s="53"/>
      <c r="J33" s="53"/>
      <c r="K33" s="54"/>
      <c r="M33" s="55">
        <f>SUM(M30:M32)</f>
        <v>0</v>
      </c>
      <c r="N33" s="97">
        <f>SUM(N30:N32)</f>
        <v>0</v>
      </c>
      <c r="O33" s="97">
        <f>SUM(O30:O32)</f>
        <v>0</v>
      </c>
    </row>
    <row r="34" spans="1:15" x14ac:dyDescent="0.25">
      <c r="A34" s="52"/>
      <c r="B34" s="58"/>
      <c r="C34" s="58"/>
      <c r="F34" s="54"/>
      <c r="H34" s="59"/>
      <c r="K34" s="54"/>
      <c r="M34" s="55"/>
      <c r="N34" s="57"/>
      <c r="O34" s="60"/>
    </row>
    <row r="35" spans="1:15" ht="45" x14ac:dyDescent="0.3">
      <c r="A35" s="41" t="s">
        <v>37</v>
      </c>
      <c r="B35" s="32" t="s">
        <v>31</v>
      </c>
      <c r="C35" s="44"/>
      <c r="D35" s="44"/>
      <c r="E35" s="42" t="s">
        <v>28</v>
      </c>
      <c r="F35" s="43" t="s">
        <v>9</v>
      </c>
      <c r="G35" s="40"/>
      <c r="H35" s="137"/>
      <c r="I35" s="138"/>
      <c r="J35" s="138"/>
      <c r="K35" s="139"/>
      <c r="L35" s="23"/>
      <c r="M35" s="61"/>
      <c r="N35" s="62"/>
      <c r="O35" s="63"/>
    </row>
    <row r="36" spans="1:15" ht="15.75" x14ac:dyDescent="0.3">
      <c r="A36" s="41"/>
      <c r="B36" s="44" t="str">
        <f>IF($B$4='Ark2'!$A$3,2,"6*2 år")</f>
        <v>6*2 år</v>
      </c>
      <c r="C36" s="44"/>
      <c r="D36" s="53"/>
      <c r="E36" s="4"/>
      <c r="F36" s="45">
        <f>E36*12</f>
        <v>0</v>
      </c>
      <c r="G36" s="40"/>
      <c r="H36" s="64"/>
      <c r="I36" s="65"/>
      <c r="J36" s="66"/>
      <c r="K36" s="67"/>
      <c r="L36" s="40"/>
      <c r="M36" s="68" t="str">
        <f>IF($B$4='Ark2'!$A$3,$B36*($E36+$K36)*12,"0,00")</f>
        <v>0,00</v>
      </c>
      <c r="N36" s="69">
        <f>IF($B$4='Ark2'!$A$4,6*2*($F36+$K36),"0,00")</f>
        <v>0</v>
      </c>
      <c r="O36" s="70">
        <f t="shared" ref="O36" si="5">M36+N36</f>
        <v>0</v>
      </c>
    </row>
    <row r="37" spans="1:15" ht="15.75" x14ac:dyDescent="0.3">
      <c r="A37" s="71"/>
      <c r="C37" s="58"/>
      <c r="F37" s="72"/>
      <c r="G37" s="40"/>
      <c r="H37" s="3"/>
      <c r="I37" s="73"/>
      <c r="J37" s="73"/>
      <c r="K37" s="74"/>
      <c r="L37" s="47"/>
      <c r="M37" s="75"/>
      <c r="N37" s="56"/>
      <c r="O37" s="57"/>
    </row>
    <row r="38" spans="1:15" ht="45" x14ac:dyDescent="0.3">
      <c r="A38" s="41"/>
      <c r="B38" s="32" t="s">
        <v>31</v>
      </c>
      <c r="C38" s="42"/>
      <c r="D38" s="44"/>
      <c r="E38" s="44"/>
      <c r="F38" s="43"/>
      <c r="G38" s="21"/>
      <c r="H38" s="41" t="s">
        <v>18</v>
      </c>
      <c r="I38" s="44" t="s">
        <v>19</v>
      </c>
      <c r="J38" s="73"/>
      <c r="K38" s="43" t="s">
        <v>20</v>
      </c>
      <c r="L38" s="47"/>
      <c r="M38" s="61"/>
      <c r="N38" s="62"/>
      <c r="O38" s="63"/>
    </row>
    <row r="39" spans="1:15" ht="16.5" thickBot="1" x14ac:dyDescent="0.35">
      <c r="A39" s="77" t="s">
        <v>17</v>
      </c>
      <c r="B39" s="44" t="str">
        <f>IF($B$4='Ark2'!$A$3,2,"6*2 år")</f>
        <v>6*2 år</v>
      </c>
      <c r="C39" s="78"/>
      <c r="D39" s="78"/>
      <c r="E39" s="78"/>
      <c r="F39" s="2"/>
      <c r="G39" s="1"/>
      <c r="H39" s="98">
        <f>$B$9</f>
        <v>0</v>
      </c>
      <c r="I39" s="5"/>
      <c r="J39" s="99"/>
      <c r="K39" s="45">
        <f>H39*I39</f>
        <v>0</v>
      </c>
      <c r="L39" s="47"/>
      <c r="M39" s="68" t="str">
        <f>IF($B$4='Ark2'!$A$3,$B39*($F39+$K39),"0")</f>
        <v>0</v>
      </c>
      <c r="N39" s="69">
        <f>IF($B$4='Ark2'!$A$4,6*2*($F39+$K39),"0,00")</f>
        <v>0</v>
      </c>
      <c r="O39" s="81">
        <f t="shared" ref="O39" si="6">M39+N39</f>
        <v>0</v>
      </c>
    </row>
    <row r="40" spans="1:15" ht="15.75" thickBot="1" x14ac:dyDescent="0.3">
      <c r="A40" s="82" t="s">
        <v>38</v>
      </c>
      <c r="B40" s="83"/>
      <c r="C40" s="83"/>
      <c r="D40" s="83"/>
      <c r="E40" s="83"/>
      <c r="F40" s="84">
        <f>SUM(F30:F32)+F36</f>
        <v>0</v>
      </c>
      <c r="H40" s="85"/>
      <c r="I40" s="83"/>
      <c r="J40" s="83"/>
      <c r="K40" s="84">
        <f>SUM(K30:K32)+K39</f>
        <v>0</v>
      </c>
      <c r="M40" s="87">
        <f>M33+M36+M39</f>
        <v>0</v>
      </c>
      <c r="N40" s="87">
        <f>N33+N36+N39</f>
        <v>0</v>
      </c>
      <c r="O40" s="87">
        <f>O33+O36+O39</f>
        <v>0</v>
      </c>
    </row>
    <row r="41" spans="1:15" ht="15.75" thickBot="1" x14ac:dyDescent="0.3">
      <c r="A41" s="88"/>
      <c r="H41" s="88"/>
      <c r="M41" s="89"/>
      <c r="N41" s="90"/>
      <c r="O41" s="90"/>
    </row>
    <row r="42" spans="1:15" ht="15.75" thickBot="1" x14ac:dyDescent="0.3">
      <c r="A42" s="15" t="str">
        <f>IF($B$4 = 'Ark2'!$A$3, "Option kontraktperiode (Januar 2041-Januar 2043) - 2 år - Nulemission", "Skal ikke udfyldes")</f>
        <v>Skal ikke udfyldes</v>
      </c>
      <c r="B42" s="16"/>
      <c r="C42" s="16"/>
      <c r="D42" s="16"/>
      <c r="E42" s="16"/>
      <c r="F42" s="16"/>
      <c r="G42" s="16"/>
      <c r="H42" s="16"/>
      <c r="I42" s="16"/>
      <c r="J42" s="16"/>
      <c r="K42" s="16"/>
      <c r="L42" s="16"/>
      <c r="M42" s="91"/>
      <c r="N42" s="92"/>
      <c r="O42" s="93"/>
    </row>
    <row r="43" spans="1:15" ht="15.75" x14ac:dyDescent="0.3">
      <c r="A43" s="20"/>
      <c r="B43" s="21"/>
      <c r="C43" s="21"/>
      <c r="D43" s="144" t="s">
        <v>0</v>
      </c>
      <c r="E43" s="140"/>
      <c r="F43" s="141"/>
      <c r="G43" s="21"/>
      <c r="H43" s="145" t="s">
        <v>4</v>
      </c>
      <c r="I43" s="146"/>
      <c r="J43" s="146"/>
      <c r="K43" s="147"/>
      <c r="L43" s="23"/>
      <c r="M43" s="94"/>
      <c r="N43" s="95" t="s">
        <v>15</v>
      </c>
      <c r="O43" s="96"/>
    </row>
    <row r="44" spans="1:15" ht="105" x14ac:dyDescent="0.3">
      <c r="A44" s="100" t="str">
        <f>A29</f>
        <v>Middelfart lokal</v>
      </c>
      <c r="B44" s="32" t="s">
        <v>31</v>
      </c>
      <c r="C44" s="32" t="s">
        <v>14</v>
      </c>
      <c r="D44" s="32" t="s">
        <v>1</v>
      </c>
      <c r="E44" s="34" t="s">
        <v>2</v>
      </c>
      <c r="F44" s="35" t="s">
        <v>3</v>
      </c>
      <c r="G44" s="21"/>
      <c r="H44" s="64" t="s">
        <v>8</v>
      </c>
      <c r="I44" s="65" t="s">
        <v>5</v>
      </c>
      <c r="J44" s="66" t="s">
        <v>6</v>
      </c>
      <c r="K44" s="67" t="s">
        <v>7</v>
      </c>
      <c r="L44" s="40"/>
      <c r="M44" s="101" t="str">
        <f>M29</f>
        <v>Nulemission</v>
      </c>
      <c r="N44" s="101" t="str">
        <f>N29</f>
        <v>Diesel</v>
      </c>
      <c r="O44" s="103" t="s">
        <v>16</v>
      </c>
    </row>
    <row r="45" spans="1:15" ht="15.75" x14ac:dyDescent="0.3">
      <c r="A45" s="148" t="s">
        <v>13</v>
      </c>
      <c r="B45" s="44" t="str">
        <f>IF($B$4='Ark2'!$A$3,2,"")</f>
        <v/>
      </c>
      <c r="C45" s="9"/>
      <c r="D45" s="7"/>
      <c r="E45" s="4"/>
      <c r="F45" s="110" t="str">
        <f>IF($B$4='Ark2'!$A$3,E45*D45*12,"0,00")</f>
        <v>0,00</v>
      </c>
      <c r="G45" s="21"/>
      <c r="H45" s="6"/>
      <c r="I45" s="4"/>
      <c r="J45" s="4"/>
      <c r="K45" s="110" t="str">
        <f>IF($B$4='Ark2'!$A$3,(I45+J45)*H45,"0,00")</f>
        <v>0,00</v>
      </c>
      <c r="L45" s="47"/>
      <c r="M45" s="48" t="str">
        <f>IF($B$45="","0,00",$B45*($F45+$K45))</f>
        <v>0,00</v>
      </c>
      <c r="N45" s="49" t="str">
        <f>IF($B45="","0,00","0,00")</f>
        <v>0,00</v>
      </c>
      <c r="O45" s="50">
        <f>M45+N45</f>
        <v>0</v>
      </c>
    </row>
    <row r="46" spans="1:15" ht="15.75" x14ac:dyDescent="0.3">
      <c r="A46" s="148"/>
      <c r="B46" s="44" t="str">
        <f>IF($B$4='Ark2'!$A$3,2,"")</f>
        <v/>
      </c>
      <c r="C46" s="9"/>
      <c r="D46" s="7"/>
      <c r="E46" s="4"/>
      <c r="F46" s="110" t="str">
        <f>IF($B$4='Ark2'!$A$3,E46*D46*12,"0,00")</f>
        <v>0,00</v>
      </c>
      <c r="G46" s="21"/>
      <c r="H46" s="6"/>
      <c r="I46" s="4"/>
      <c r="J46" s="4"/>
      <c r="K46" s="110" t="str">
        <f>IF($B$4='Ark2'!$A$3,(I46+J46)*H46,"0,00")</f>
        <v>0,00</v>
      </c>
      <c r="L46" s="47"/>
      <c r="M46" s="48" t="str">
        <f>IF($B$46="","0,00",$B46*($F46+$K46))</f>
        <v>0,00</v>
      </c>
      <c r="N46" s="49" t="str">
        <f>IF($B46="","0,00","0,00")</f>
        <v>0,00</v>
      </c>
      <c r="O46" s="50">
        <f t="shared" ref="O46:O47" si="7">M46+N46</f>
        <v>0</v>
      </c>
    </row>
    <row r="47" spans="1:15" ht="15.75" x14ac:dyDescent="0.3">
      <c r="A47" s="148"/>
      <c r="B47" s="44" t="str">
        <f>IF($B$4='Ark2'!$A$3,2,"")</f>
        <v/>
      </c>
      <c r="C47" s="9"/>
      <c r="D47" s="7"/>
      <c r="E47" s="4"/>
      <c r="F47" s="110" t="str">
        <f>IF($B$4='Ark2'!$A$3,E47*D47*12,"0,00")</f>
        <v>0,00</v>
      </c>
      <c r="G47" s="51"/>
      <c r="H47" s="6"/>
      <c r="I47" s="4"/>
      <c r="J47" s="4"/>
      <c r="K47" s="110" t="str">
        <f>IF($B$4='Ark2'!$A$3,(I47+J47)*H47,"0,00")</f>
        <v>0,00</v>
      </c>
      <c r="L47" s="47"/>
      <c r="M47" s="48" t="str">
        <f>IF($B$47="","0,00",$B47*($F47+$K47))</f>
        <v>0,00</v>
      </c>
      <c r="N47" s="49" t="str">
        <f>IF($B47="","0,00","0,00")</f>
        <v>0,00</v>
      </c>
      <c r="O47" s="50">
        <f t="shared" si="7"/>
        <v>0</v>
      </c>
    </row>
    <row r="48" spans="1:15" ht="16.5" customHeight="1" x14ac:dyDescent="0.3">
      <c r="A48" s="52"/>
      <c r="B48" s="58"/>
      <c r="C48" s="44"/>
      <c r="D48" s="10">
        <f>SUM(D45:D47)</f>
        <v>0</v>
      </c>
      <c r="E48" s="53"/>
      <c r="F48" s="54"/>
      <c r="H48" s="46">
        <f>SUM(H45:H47)</f>
        <v>0</v>
      </c>
      <c r="I48" s="53"/>
      <c r="J48" s="53"/>
      <c r="K48" s="54"/>
      <c r="M48" s="75">
        <f>SUM(M45:M47)</f>
        <v>0</v>
      </c>
      <c r="N48" s="56">
        <f>SUM(N45:N47)</f>
        <v>0</v>
      </c>
      <c r="O48" s="57">
        <f>SUM(O45:O47)</f>
        <v>0</v>
      </c>
    </row>
    <row r="49" spans="1:15" x14ac:dyDescent="0.25">
      <c r="A49" s="52"/>
      <c r="B49" s="58"/>
      <c r="C49" s="58"/>
      <c r="F49" s="54"/>
      <c r="H49" s="59"/>
      <c r="K49" s="54"/>
      <c r="M49" s="55"/>
      <c r="N49" s="57"/>
      <c r="O49" s="60"/>
    </row>
    <row r="50" spans="1:15" ht="45" x14ac:dyDescent="0.3">
      <c r="A50" s="41" t="s">
        <v>9</v>
      </c>
      <c r="B50" s="32" t="s">
        <v>31</v>
      </c>
      <c r="C50" s="44"/>
      <c r="D50" s="44"/>
      <c r="E50" s="42" t="s">
        <v>28</v>
      </c>
      <c r="F50" s="43" t="s">
        <v>9</v>
      </c>
      <c r="G50" s="40"/>
      <c r="H50" s="137"/>
      <c r="I50" s="138"/>
      <c r="J50" s="138"/>
      <c r="K50" s="139"/>
      <c r="L50" s="23"/>
      <c r="M50" s="104"/>
      <c r="N50" s="62"/>
      <c r="O50" s="105"/>
    </row>
    <row r="51" spans="1:15" ht="15.75" x14ac:dyDescent="0.3">
      <c r="A51" s="41"/>
      <c r="B51" s="44" t="str">
        <f>IF($B$4='Ark2'!$A$3,2,"")</f>
        <v/>
      </c>
      <c r="C51" s="44"/>
      <c r="D51" s="53"/>
      <c r="E51" s="4"/>
      <c r="F51" s="45" t="str">
        <f>IF($B$4='Ark2'!$A$3,E51*12,"0,00")</f>
        <v>0,00</v>
      </c>
      <c r="G51" s="40"/>
      <c r="H51" s="64"/>
      <c r="I51" s="65"/>
      <c r="J51" s="66"/>
      <c r="K51" s="67"/>
      <c r="L51" s="40"/>
      <c r="M51" s="48" t="str">
        <f>IF($B$51="","0,00",$B51*($F51+$K51))</f>
        <v>0,00</v>
      </c>
      <c r="N51" s="49" t="str">
        <f>IF($B51="","0,00","0,00")</f>
        <v>0,00</v>
      </c>
      <c r="O51" s="106">
        <f t="shared" ref="O51" si="8">M51+N51</f>
        <v>0</v>
      </c>
    </row>
    <row r="52" spans="1:15" ht="15.75" x14ac:dyDescent="0.3">
      <c r="A52" s="71"/>
      <c r="C52" s="58"/>
      <c r="F52" s="72"/>
      <c r="G52" s="40"/>
      <c r="H52" s="3"/>
      <c r="I52" s="73"/>
      <c r="J52" s="73"/>
      <c r="K52" s="74"/>
      <c r="L52" s="47"/>
      <c r="M52" s="75"/>
      <c r="N52" s="56"/>
      <c r="O52" s="57"/>
    </row>
    <row r="53" spans="1:15" ht="54.75" customHeight="1" x14ac:dyDescent="0.3">
      <c r="A53" s="41"/>
      <c r="B53" s="32" t="s">
        <v>31</v>
      </c>
      <c r="C53" s="42"/>
      <c r="D53" s="44"/>
      <c r="E53" s="44"/>
      <c r="F53" s="43"/>
      <c r="G53" s="21"/>
      <c r="H53" s="41" t="s">
        <v>18</v>
      </c>
      <c r="I53" s="44" t="s">
        <v>19</v>
      </c>
      <c r="J53" s="76"/>
      <c r="K53" s="43" t="s">
        <v>20</v>
      </c>
      <c r="L53" s="47"/>
      <c r="M53" s="61"/>
      <c r="N53" s="62"/>
      <c r="O53" s="63"/>
    </row>
    <row r="54" spans="1:15" ht="16.5" thickBot="1" x14ac:dyDescent="0.35">
      <c r="A54" s="77" t="s">
        <v>17</v>
      </c>
      <c r="B54" s="44" t="str">
        <f>IF($B$4='Ark2'!$A$3,2,"")</f>
        <v/>
      </c>
      <c r="C54" s="78"/>
      <c r="D54" s="78"/>
      <c r="E54" s="78"/>
      <c r="F54" s="2"/>
      <c r="G54" s="1"/>
      <c r="H54" s="8">
        <f>$B$9</f>
        <v>0</v>
      </c>
      <c r="I54" s="4"/>
      <c r="J54" s="76"/>
      <c r="K54" s="45" t="str">
        <f>IF($B$4='Ark2'!$A$3,H54*I54,"0,00")</f>
        <v>0,00</v>
      </c>
      <c r="L54" s="47"/>
      <c r="M54" s="48" t="str">
        <f>IF($B$54="","0,00",$B54*($F54+$K54))</f>
        <v>0,00</v>
      </c>
      <c r="N54" s="49" t="str">
        <f>IF($B54="","0,00","0,00")</f>
        <v>0,00</v>
      </c>
      <c r="O54" s="107">
        <f t="shared" ref="O54" si="9">M54+N54</f>
        <v>0</v>
      </c>
    </row>
    <row r="55" spans="1:15" ht="15.75" thickBot="1" x14ac:dyDescent="0.3">
      <c r="A55" s="82" t="s">
        <v>38</v>
      </c>
      <c r="B55" s="83"/>
      <c r="C55" s="83"/>
      <c r="D55" s="83"/>
      <c r="E55" s="83"/>
      <c r="F55" s="84">
        <f>SUM(F45:F47)+F51</f>
        <v>0</v>
      </c>
      <c r="H55" s="85"/>
      <c r="I55" s="83"/>
      <c r="J55" s="83"/>
      <c r="K55" s="84">
        <f>SUM(K45:K47)+K54</f>
        <v>0</v>
      </c>
      <c r="M55" s="87">
        <f>M48+M51+M54</f>
        <v>0</v>
      </c>
      <c r="N55" s="87">
        <f>N48+N51+N54</f>
        <v>0</v>
      </c>
      <c r="O55" s="87">
        <f>O48+O51+O54</f>
        <v>0</v>
      </c>
    </row>
    <row r="56" spans="1:15" x14ac:dyDescent="0.25">
      <c r="A56" s="59"/>
      <c r="M56" s="89"/>
      <c r="N56" s="90"/>
      <c r="O56" s="90"/>
    </row>
    <row r="57" spans="1:15" ht="15.75" thickBot="1" x14ac:dyDescent="0.3">
      <c r="A57" s="59"/>
      <c r="M57" s="89"/>
      <c r="N57" s="90"/>
      <c r="O57" s="90"/>
    </row>
    <row r="58" spans="1:15" ht="15.75" thickBot="1" x14ac:dyDescent="0.3">
      <c r="A58" s="59"/>
      <c r="F58" s="108" t="str">
        <f>IF($B$4="Nulemission",_xlfn.CONCAT("Total ",A14," - ",'Ark2'!$A$3," - 16 år"),_xlfn.CONCAT("Total ",A14," - ",'Ark2'!$A$4," - 4 år + 6*2 år"))</f>
        <v>Total Middelfart lokal - Diesel - 4 år + 6*2 år</v>
      </c>
      <c r="M58" s="87">
        <f>M55+M40+M25</f>
        <v>0</v>
      </c>
      <c r="N58" s="87">
        <f>N55+N40+N25</f>
        <v>0</v>
      </c>
      <c r="O58" s="87">
        <f>O55+O40+O25</f>
        <v>0</v>
      </c>
    </row>
    <row r="59" spans="1:15" x14ac:dyDescent="0.25">
      <c r="A59" s="59"/>
      <c r="M59" s="109"/>
    </row>
    <row r="60" spans="1:15" x14ac:dyDescent="0.25">
      <c r="A60" s="59"/>
    </row>
    <row r="63" spans="1:15" ht="16.5" customHeight="1" x14ac:dyDescent="0.25"/>
    <row r="66" customFormat="1" ht="15.75" customHeight="1" x14ac:dyDescent="0.25"/>
  </sheetData>
  <sheetProtection algorithmName="SHA-512" hashValue="x57G9+sdcR9uHyg9K2p3EYYPUiKF/WpIqle1nWFELKwWiSUp3bQSaGJS8tPXNeK8XieUBPt59aqyV3Wi2XI2tg==" saltValue="zY5cvv/OA4xwbtb1xfFRsw==" spinCount="100000" sheet="1" objects="1" scenarios="1"/>
  <protectedRanges>
    <protectedRange sqref="E21 E36 E51" name="F1_2"/>
    <protectedRange sqref="F52:F53 K53 G23:G24 F22:F23 K23 G38:G39 F37:F38 K38 G53:G54 I24 I39 I54" name="P3 Ø_2"/>
    <protectedRange sqref="E21 E36 E51" name="P3 C_3"/>
    <protectedRange sqref="E30:E32 E45:E47" name="P3 B_1_1"/>
    <protectedRange sqref="I15:I17 I30:I32 I45:I47" name="P3 Ø_1_1"/>
    <protectedRange sqref="J15:J17 J30:J32 J45:J47" name="P3 C_1_1"/>
    <protectedRange sqref="F21" name="F1_1_1"/>
    <protectedRange sqref="F21" name="P3 C_2_1"/>
    <protectedRange sqref="E15:E17" name="P3 B_2"/>
    <protectedRange sqref="F36" name="F1_1_1_1"/>
    <protectedRange sqref="F36" name="P3 C_2_1_1"/>
  </protectedRanges>
  <mergeCells count="13">
    <mergeCell ref="M12:O12"/>
    <mergeCell ref="H50:K50"/>
    <mergeCell ref="D12:F12"/>
    <mergeCell ref="H12:K12"/>
    <mergeCell ref="A15:A17"/>
    <mergeCell ref="H20:K20"/>
    <mergeCell ref="D28:F28"/>
    <mergeCell ref="H28:K28"/>
    <mergeCell ref="A30:A32"/>
    <mergeCell ref="H35:K35"/>
    <mergeCell ref="D43:F43"/>
    <mergeCell ref="H43:K43"/>
    <mergeCell ref="A45:A47"/>
  </mergeCells>
  <conditionalFormatting sqref="H18">
    <cfRule type="cellIs" dxfId="11" priority="5" operator="notEqual">
      <formula>$B$8</formula>
    </cfRule>
    <cfRule type="expression" dxfId="10" priority="6">
      <formula>SUM($H$15:$H$17)=$B$8</formula>
    </cfRule>
  </conditionalFormatting>
  <conditionalFormatting sqref="H33">
    <cfRule type="cellIs" dxfId="9" priority="3" operator="notEqual">
      <formula>$B$8</formula>
    </cfRule>
    <cfRule type="expression" dxfId="8" priority="4">
      <formula>SUM($H$30:$H$32)=$B$8</formula>
    </cfRule>
  </conditionalFormatting>
  <conditionalFormatting sqref="H48">
    <cfRule type="cellIs" dxfId="7" priority="1" operator="notEqual">
      <formula>$B$8</formula>
    </cfRule>
    <cfRule type="expression" dxfId="6" priority="2">
      <formula>SUM($H$45:$H$47)=$B$8</formula>
    </cfRule>
  </conditionalFormatting>
  <pageMargins left="0.23622047244094491" right="0.23622047244094491" top="0.94488188976377963" bottom="0.74803149606299213" header="0.31496062992125984" footer="0.31496062992125984"/>
  <pageSetup paperSize="9" scale="33" orientation="portrait" r:id="rId1"/>
  <headerFooter>
    <oddHeader xml:space="preserve">&amp;L&amp;10FynBus, 9. februar 2024 
Udbud af emissionsfri buskørsel i Svendborg By
J.nr. 202311-40216 </oddHeader>
  </headerFooter>
  <rowBreaks count="1" manualBreakCount="1">
    <brk id="59" max="16"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40D98AF1-2B75-44AE-B273-2B549527774B}">
          <x14:formula1>
            <xm:f>'Ark2'!$E$2:$E$5</xm:f>
          </x14:formula1>
          <xm:sqref>C15:C17 C30:C32 C45:C47</xm:sqref>
        </x14:dataValidation>
        <x14:dataValidation type="list" allowBlank="1" showInputMessage="1" showErrorMessage="1" xr:uid="{3A19221F-B270-4F4D-B362-D2BED38EC81B}">
          <x14:formula1>
            <xm:f>'Ark2'!$A$2:$A$4</xm:f>
          </x14:formula1>
          <xm:sqref>B4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F91BF-EBAE-4EB2-8F53-B418019F8CC1}">
  <dimension ref="A1:O66"/>
  <sheetViews>
    <sheetView zoomScale="90" zoomScaleNormal="90" zoomScaleSheetLayoutView="90" workbookViewId="0">
      <selection activeCell="B4" sqref="B4"/>
    </sheetView>
  </sheetViews>
  <sheetFormatPr defaultRowHeight="15" x14ac:dyDescent="0.25"/>
  <cols>
    <col min="1" max="1" width="33.85546875" customWidth="1"/>
    <col min="2" max="2" width="19.7109375" customWidth="1"/>
    <col min="3" max="4" width="19" customWidth="1"/>
    <col min="5" max="5" width="14.28515625" customWidth="1"/>
    <col min="6" max="6" width="21.140625" customWidth="1"/>
    <col min="7" max="7" width="11.7109375" customWidth="1"/>
    <col min="8" max="8" width="10.5703125" customWidth="1"/>
    <col min="9" max="9" width="14.5703125" customWidth="1"/>
    <col min="11" max="11" width="19.5703125" customWidth="1"/>
    <col min="12" max="12" width="11.7109375" customWidth="1"/>
    <col min="13" max="13" width="20.85546875" customWidth="1"/>
    <col min="14" max="14" width="17.28515625" customWidth="1"/>
    <col min="15" max="15" width="24.5703125" customWidth="1"/>
    <col min="16" max="16" width="21.85546875" customWidth="1"/>
    <col min="18" max="18" width="20.42578125" customWidth="1"/>
  </cols>
  <sheetData>
    <row r="1" spans="1:15" ht="33" customHeight="1" x14ac:dyDescent="0.25">
      <c r="A1" s="11" t="str">
        <f>_xlfn.CONCAT("Tilbudsskema - Fælles udbud - pakke 1 - Delkontrakt 11 - ", A14)</f>
        <v>Tilbudsskema - Fælles udbud - pakke 1 - Delkontrakt 11 - Regional</v>
      </c>
      <c r="B1" s="11"/>
      <c r="C1" s="11"/>
      <c r="D1" s="11"/>
    </row>
    <row r="2" spans="1:15" ht="141.75" customHeight="1" x14ac:dyDescent="0.25">
      <c r="A2" s="12"/>
      <c r="B2" s="12"/>
      <c r="C2" s="12"/>
      <c r="D2" s="12"/>
    </row>
    <row r="3" spans="1:15" ht="204.75" customHeight="1" x14ac:dyDescent="0.25">
      <c r="A3" s="12"/>
      <c r="B3" s="12"/>
      <c r="C3" s="12"/>
      <c r="D3" s="12"/>
    </row>
    <row r="4" spans="1:15" ht="16.5" customHeight="1" x14ac:dyDescent="0.25">
      <c r="A4" s="13" t="s">
        <v>10</v>
      </c>
      <c r="B4" s="13" t="s">
        <v>41</v>
      </c>
      <c r="C4" s="12"/>
      <c r="D4" s="12"/>
    </row>
    <row r="5" spans="1:15" ht="19.5" customHeight="1" x14ac:dyDescent="0.25">
      <c r="A5" s="12"/>
      <c r="B5" s="12"/>
      <c r="C5" s="12"/>
      <c r="D5" s="12"/>
    </row>
    <row r="6" spans="1:15" ht="19.5" customHeight="1" x14ac:dyDescent="0.25">
      <c r="A6" s="12" t="s">
        <v>32</v>
      </c>
      <c r="B6" s="12"/>
      <c r="C6" s="12"/>
      <c r="D6" s="12"/>
    </row>
    <row r="7" spans="1:15" ht="19.5" customHeight="1" x14ac:dyDescent="0.25">
      <c r="A7" s="12" t="s">
        <v>33</v>
      </c>
      <c r="B7" s="12">
        <v>59</v>
      </c>
      <c r="C7" s="12"/>
      <c r="D7" s="12"/>
    </row>
    <row r="8" spans="1:15" ht="19.5" customHeight="1" x14ac:dyDescent="0.25">
      <c r="A8" s="12" t="s">
        <v>34</v>
      </c>
      <c r="B8" s="14">
        <v>163005</v>
      </c>
      <c r="C8" s="12"/>
      <c r="D8" s="14"/>
    </row>
    <row r="9" spans="1:15" ht="19.5" customHeight="1" x14ac:dyDescent="0.25">
      <c r="A9" s="12" t="s">
        <v>36</v>
      </c>
      <c r="B9" s="14">
        <v>0</v>
      </c>
      <c r="C9" s="12"/>
      <c r="D9" s="12"/>
    </row>
    <row r="10" spans="1:15" ht="19.5" customHeight="1" thickBot="1" x14ac:dyDescent="0.3">
      <c r="A10" s="12"/>
      <c r="B10" s="12"/>
      <c r="C10" s="12"/>
      <c r="D10" s="12"/>
    </row>
    <row r="11" spans="1:15" ht="15.75" thickBot="1" x14ac:dyDescent="0.3">
      <c r="A11" s="15" t="s">
        <v>42</v>
      </c>
      <c r="B11" s="16"/>
      <c r="C11" s="16"/>
      <c r="D11" s="16"/>
      <c r="E11" s="16"/>
      <c r="F11" s="16"/>
      <c r="G11" s="16"/>
      <c r="H11" s="16"/>
      <c r="I11" s="16"/>
      <c r="J11" s="16"/>
      <c r="K11" s="16"/>
      <c r="L11" s="16"/>
      <c r="M11" s="17"/>
      <c r="N11" s="18"/>
      <c r="O11" s="19"/>
    </row>
    <row r="12" spans="1:15" ht="20.25" customHeight="1" x14ac:dyDescent="0.3">
      <c r="A12" s="20"/>
      <c r="B12" s="21"/>
      <c r="C12" s="22"/>
      <c r="D12" s="140" t="s">
        <v>0</v>
      </c>
      <c r="E12" s="140"/>
      <c r="F12" s="141"/>
      <c r="G12" s="21"/>
      <c r="H12" s="142" t="s">
        <v>4</v>
      </c>
      <c r="I12" s="140"/>
      <c r="J12" s="140"/>
      <c r="K12" s="141"/>
      <c r="L12" s="23"/>
      <c r="M12" s="24"/>
      <c r="N12" s="25" t="s">
        <v>15</v>
      </c>
      <c r="O12" s="26"/>
    </row>
    <row r="13" spans="1:15" ht="16.5" thickBot="1" x14ac:dyDescent="0.35">
      <c r="A13" s="21"/>
      <c r="B13" s="21"/>
      <c r="C13" s="27"/>
      <c r="D13" s="21"/>
      <c r="E13" s="28"/>
      <c r="F13" s="29"/>
      <c r="G13" s="21"/>
      <c r="H13" s="30"/>
      <c r="I13" s="23"/>
      <c r="J13" s="23"/>
      <c r="K13" s="31"/>
      <c r="L13" s="23"/>
      <c r="M13" s="24"/>
      <c r="N13" s="25"/>
      <c r="O13" s="26"/>
    </row>
    <row r="14" spans="1:15" ht="105" x14ac:dyDescent="0.3">
      <c r="A14" s="32" t="s">
        <v>46</v>
      </c>
      <c r="B14" s="32" t="s">
        <v>31</v>
      </c>
      <c r="C14" s="33" t="s">
        <v>14</v>
      </c>
      <c r="D14" s="32" t="s">
        <v>1</v>
      </c>
      <c r="E14" s="34" t="s">
        <v>2</v>
      </c>
      <c r="F14" s="35" t="s">
        <v>3</v>
      </c>
      <c r="G14" s="21"/>
      <c r="H14" s="36" t="s">
        <v>8</v>
      </c>
      <c r="I14" s="37" t="s">
        <v>5</v>
      </c>
      <c r="J14" s="38" t="s">
        <v>6</v>
      </c>
      <c r="K14" s="39" t="s">
        <v>7</v>
      </c>
      <c r="L14" s="40"/>
      <c r="M14" s="41" t="str">
        <f>'Ark2'!$A$3</f>
        <v>Nulemission</v>
      </c>
      <c r="N14" s="41" t="str">
        <f>'Ark2'!$A$4</f>
        <v>Diesel</v>
      </c>
      <c r="O14" s="43" t="s">
        <v>16</v>
      </c>
    </row>
    <row r="15" spans="1:15" ht="30" customHeight="1" x14ac:dyDescent="0.3">
      <c r="A15" s="143" t="s">
        <v>13</v>
      </c>
      <c r="B15" s="44">
        <f>IF($B$4='Ark2'!$A$3,12,4)</f>
        <v>12</v>
      </c>
      <c r="C15" s="9"/>
      <c r="D15" s="7"/>
      <c r="E15" s="4"/>
      <c r="F15" s="45">
        <f>E15*D15*12</f>
        <v>0</v>
      </c>
      <c r="G15" s="21"/>
      <c r="H15" s="6"/>
      <c r="I15" s="4"/>
      <c r="J15" s="4"/>
      <c r="K15" s="45">
        <f>(I15+J15)*H15</f>
        <v>0</v>
      </c>
      <c r="L15" s="47"/>
      <c r="M15" s="48">
        <f>IF($B$4='Ark2'!$A$3,$B15*($F15+$K15),"0,00")</f>
        <v>0</v>
      </c>
      <c r="N15" s="49" t="str">
        <f>IF($B$4='Ark2'!$A$4,$B15*($F15+$K15),"0,00")</f>
        <v>0,00</v>
      </c>
      <c r="O15" s="50">
        <f>M15+N15</f>
        <v>0</v>
      </c>
    </row>
    <row r="16" spans="1:15" ht="15.75" x14ac:dyDescent="0.3">
      <c r="A16" s="143"/>
      <c r="B16" s="44">
        <f>IF($B$4='Ark2'!$A$3,12,4)</f>
        <v>12</v>
      </c>
      <c r="C16" s="9"/>
      <c r="D16" s="7"/>
      <c r="E16" s="4"/>
      <c r="F16" s="45">
        <f>E16*D16*12</f>
        <v>0</v>
      </c>
      <c r="G16" s="21"/>
      <c r="H16" s="6"/>
      <c r="I16" s="4"/>
      <c r="J16" s="4"/>
      <c r="K16" s="45">
        <f t="shared" ref="K16:K17" si="0">(I16+J16)*H16</f>
        <v>0</v>
      </c>
      <c r="L16" s="47"/>
      <c r="M16" s="48">
        <f>IF($B$4='Ark2'!$A$3,$B16*($F16+$K16),"0,00")</f>
        <v>0</v>
      </c>
      <c r="N16" s="49" t="str">
        <f>IF($B$4='Ark2'!$A$4,$B16*($F16+$K16),"0,00")</f>
        <v>0,00</v>
      </c>
      <c r="O16" s="50">
        <f t="shared" ref="O16:O17" si="1">M16+N16</f>
        <v>0</v>
      </c>
    </row>
    <row r="17" spans="1:15" ht="15.75" x14ac:dyDescent="0.3">
      <c r="A17" s="143"/>
      <c r="B17" s="44">
        <f>IF($B$4='Ark2'!$A$3,12,4)</f>
        <v>12</v>
      </c>
      <c r="C17" s="9"/>
      <c r="D17" s="7"/>
      <c r="E17" s="4"/>
      <c r="F17" s="45">
        <f>E17*D17*12</f>
        <v>0</v>
      </c>
      <c r="G17" s="51"/>
      <c r="H17" s="6"/>
      <c r="I17" s="4"/>
      <c r="J17" s="4"/>
      <c r="K17" s="45">
        <f t="shared" si="0"/>
        <v>0</v>
      </c>
      <c r="L17" s="47"/>
      <c r="M17" s="48">
        <f>IF($B$4='Ark2'!$A$3,$B17*($F17+$K17),"0,00")</f>
        <v>0</v>
      </c>
      <c r="N17" s="49" t="str">
        <f>IF($B$4='Ark2'!$A$4,$B17*($F17+$K17),"0,00")</f>
        <v>0,00</v>
      </c>
      <c r="O17" s="50">
        <f t="shared" si="1"/>
        <v>0</v>
      </c>
    </row>
    <row r="18" spans="1:15" ht="15.75" x14ac:dyDescent="0.3">
      <c r="A18" s="52"/>
      <c r="B18" s="44" t="s">
        <v>40</v>
      </c>
      <c r="C18" s="44"/>
      <c r="D18" s="10">
        <f>SUM(D15:D17)</f>
        <v>0</v>
      </c>
      <c r="E18" s="53"/>
      <c r="F18" s="54"/>
      <c r="H18" s="46">
        <f>SUM(H15:H17)</f>
        <v>0</v>
      </c>
      <c r="I18" s="53"/>
      <c r="J18" s="53"/>
      <c r="K18" s="54"/>
      <c r="M18" s="55">
        <f>SUM(M15:M17)</f>
        <v>0</v>
      </c>
      <c r="N18" s="56">
        <f>SUM(N15:N17)</f>
        <v>0</v>
      </c>
      <c r="O18" s="57">
        <f>SUM(O15:O17)</f>
        <v>0</v>
      </c>
    </row>
    <row r="19" spans="1:15" x14ac:dyDescent="0.25">
      <c r="A19" s="52"/>
      <c r="B19" s="58"/>
      <c r="C19" s="58"/>
      <c r="F19" s="54"/>
      <c r="H19" s="59"/>
      <c r="K19" s="54"/>
      <c r="M19" s="55"/>
      <c r="N19" s="57"/>
      <c r="O19" s="60"/>
    </row>
    <row r="20" spans="1:15" ht="48" customHeight="1" x14ac:dyDescent="0.3">
      <c r="A20" s="41" t="s">
        <v>37</v>
      </c>
      <c r="B20" s="32" t="s">
        <v>31</v>
      </c>
      <c r="C20" s="44"/>
      <c r="D20" s="44"/>
      <c r="E20" s="42" t="s">
        <v>28</v>
      </c>
      <c r="F20" s="43" t="s">
        <v>9</v>
      </c>
      <c r="G20" s="40"/>
      <c r="H20" s="137"/>
      <c r="I20" s="138"/>
      <c r="J20" s="138"/>
      <c r="K20" s="139"/>
      <c r="L20" s="23"/>
      <c r="M20" s="61"/>
      <c r="N20" s="62"/>
      <c r="O20" s="63"/>
    </row>
    <row r="21" spans="1:15" ht="15.75" x14ac:dyDescent="0.3">
      <c r="A21" s="41"/>
      <c r="B21" s="44">
        <f>IF($B$4='Ark2'!$A$3,12,4)</f>
        <v>12</v>
      </c>
      <c r="C21" s="44"/>
      <c r="D21" s="53"/>
      <c r="E21" s="4"/>
      <c r="F21" s="45">
        <f>E21*12</f>
        <v>0</v>
      </c>
      <c r="G21" s="40"/>
      <c r="H21" s="64"/>
      <c r="I21" s="65"/>
      <c r="J21" s="66"/>
      <c r="K21" s="67"/>
      <c r="L21" s="40"/>
      <c r="M21" s="68">
        <f>IF($B$4='Ark2'!$A$3,$B21*($F21+$K21),"0,00")</f>
        <v>0</v>
      </c>
      <c r="N21" s="69" t="str">
        <f>IF($B$4='Ark2'!$A$4,$B21*($F21+$K21),"0,00")</f>
        <v>0,00</v>
      </c>
      <c r="O21" s="70">
        <f t="shared" ref="O21" si="2">M21+N21</f>
        <v>0</v>
      </c>
    </row>
    <row r="22" spans="1:15" ht="15.75" x14ac:dyDescent="0.3">
      <c r="A22" s="71"/>
      <c r="C22" s="58"/>
      <c r="F22" s="72"/>
      <c r="G22" s="40"/>
      <c r="H22" s="3"/>
      <c r="I22" s="73"/>
      <c r="J22" s="73"/>
      <c r="K22" s="74"/>
      <c r="L22" s="47"/>
      <c r="M22" s="75"/>
      <c r="N22" s="56"/>
      <c r="O22" s="57"/>
    </row>
    <row r="23" spans="1:15" ht="45" x14ac:dyDescent="0.3">
      <c r="A23" s="42"/>
      <c r="B23" s="32" t="s">
        <v>31</v>
      </c>
      <c r="C23" s="42"/>
      <c r="D23" s="44"/>
      <c r="E23" s="44"/>
      <c r="F23" s="43"/>
      <c r="G23" s="21"/>
      <c r="H23" s="41" t="s">
        <v>18</v>
      </c>
      <c r="I23" s="44" t="s">
        <v>19</v>
      </c>
      <c r="J23" s="76"/>
      <c r="K23" s="43" t="s">
        <v>20</v>
      </c>
      <c r="L23" s="47"/>
      <c r="M23" s="61"/>
      <c r="N23" s="62"/>
      <c r="O23" s="63"/>
    </row>
    <row r="24" spans="1:15" ht="16.5" thickBot="1" x14ac:dyDescent="0.35">
      <c r="A24" s="77" t="s">
        <v>17</v>
      </c>
      <c r="B24" s="44">
        <f>IF($B$4='Ark2'!$A$3,12,4)</f>
        <v>12</v>
      </c>
      <c r="C24" s="78"/>
      <c r="D24" s="78"/>
      <c r="E24" s="78"/>
      <c r="F24" s="2"/>
      <c r="G24" s="1"/>
      <c r="H24" s="79">
        <f>$B$9</f>
        <v>0</v>
      </c>
      <c r="I24" s="5"/>
      <c r="J24" s="80"/>
      <c r="K24" s="45">
        <f>I24*H24</f>
        <v>0</v>
      </c>
      <c r="L24" s="47"/>
      <c r="M24" s="68">
        <f>IF($B$4='Ark2'!$A$3,$B24*($F24+$K24),"0,00")</f>
        <v>0</v>
      </c>
      <c r="N24" s="69" t="str">
        <f>IF($B$4='Ark2'!$A$4,$B24*($F24+$K24),"0,00")</f>
        <v>0,00</v>
      </c>
      <c r="O24" s="81">
        <f t="shared" ref="O24" si="3">M24+N24</f>
        <v>0</v>
      </c>
    </row>
    <row r="25" spans="1:15" ht="20.25" customHeight="1" thickBot="1" x14ac:dyDescent="0.3">
      <c r="A25" s="82" t="s">
        <v>38</v>
      </c>
      <c r="B25" s="83"/>
      <c r="C25" s="83"/>
      <c r="D25" s="83"/>
      <c r="E25" s="83"/>
      <c r="F25" s="84">
        <f>SUM(F15:F17)+F21</f>
        <v>0</v>
      </c>
      <c r="H25" s="85"/>
      <c r="I25" s="83"/>
      <c r="J25" s="83"/>
      <c r="K25" s="86">
        <f>SUM(K15:K17)+K24</f>
        <v>0</v>
      </c>
      <c r="M25" s="87">
        <f>M18+M21+M24</f>
        <v>0</v>
      </c>
      <c r="N25" s="87">
        <f>N18+N21+N24</f>
        <v>0</v>
      </c>
      <c r="O25" s="87">
        <f>O18+O21+O24</f>
        <v>0</v>
      </c>
    </row>
    <row r="26" spans="1:15" ht="15.75" thickBot="1" x14ac:dyDescent="0.3">
      <c r="A26" s="88"/>
      <c r="H26" s="88"/>
      <c r="M26" s="89"/>
      <c r="N26" s="90"/>
      <c r="O26" s="90"/>
    </row>
    <row r="27" spans="1:15" ht="28.5" customHeight="1" thickBot="1" x14ac:dyDescent="0.3">
      <c r="A27" s="15" t="s">
        <v>50</v>
      </c>
      <c r="B27" s="16"/>
      <c r="C27" s="16"/>
      <c r="D27" s="16"/>
      <c r="E27" s="16"/>
      <c r="F27" s="16"/>
      <c r="G27" s="16"/>
      <c r="H27" s="16"/>
      <c r="I27" s="16"/>
      <c r="J27" s="16"/>
      <c r="K27" s="16"/>
      <c r="L27" s="16"/>
      <c r="M27" s="91"/>
      <c r="N27" s="92"/>
      <c r="O27" s="93"/>
    </row>
    <row r="28" spans="1:15" ht="21" customHeight="1" x14ac:dyDescent="0.3">
      <c r="A28" s="20"/>
      <c r="B28" s="21"/>
      <c r="C28" s="21"/>
      <c r="D28" s="144" t="s">
        <v>0</v>
      </c>
      <c r="E28" s="140"/>
      <c r="F28" s="141"/>
      <c r="G28" s="21"/>
      <c r="H28" s="145" t="s">
        <v>4</v>
      </c>
      <c r="I28" s="146"/>
      <c r="J28" s="146"/>
      <c r="K28" s="147"/>
      <c r="L28" s="23"/>
      <c r="M28" s="94"/>
      <c r="N28" s="95" t="s">
        <v>15</v>
      </c>
      <c r="O28" s="96"/>
    </row>
    <row r="29" spans="1:15" ht="105" x14ac:dyDescent="0.3">
      <c r="A29" s="32" t="str">
        <f>A14</f>
        <v>Regional</v>
      </c>
      <c r="B29" s="32" t="s">
        <v>31</v>
      </c>
      <c r="C29" s="33" t="s">
        <v>14</v>
      </c>
      <c r="D29" s="32" t="s">
        <v>1</v>
      </c>
      <c r="E29" s="34" t="s">
        <v>2</v>
      </c>
      <c r="F29" s="35" t="s">
        <v>3</v>
      </c>
      <c r="G29" s="21"/>
      <c r="H29" s="64" t="s">
        <v>8</v>
      </c>
      <c r="I29" s="65" t="s">
        <v>5</v>
      </c>
      <c r="J29" s="66" t="s">
        <v>6</v>
      </c>
      <c r="K29" s="67" t="s">
        <v>7</v>
      </c>
      <c r="L29" s="40"/>
      <c r="M29" s="129" t="str">
        <f>M14</f>
        <v>Nulemission</v>
      </c>
      <c r="N29" s="42" t="str">
        <f>N14</f>
        <v>Diesel</v>
      </c>
      <c r="O29" s="43" t="s">
        <v>16</v>
      </c>
    </row>
    <row r="30" spans="1:15" ht="15.75" x14ac:dyDescent="0.3">
      <c r="A30" s="148" t="s">
        <v>13</v>
      </c>
      <c r="B30" s="44">
        <f>IF($B$4='Ark2'!$A$3,2,2)</f>
        <v>2</v>
      </c>
      <c r="C30" s="9"/>
      <c r="D30" s="7"/>
      <c r="E30" s="4"/>
      <c r="F30" s="110">
        <f>E30*D30*12</f>
        <v>0</v>
      </c>
      <c r="G30" s="21"/>
      <c r="H30" s="6"/>
      <c r="I30" s="4"/>
      <c r="J30" s="4"/>
      <c r="K30" s="110">
        <f>(I30+J30)*H30</f>
        <v>0</v>
      </c>
      <c r="L30" s="47"/>
      <c r="M30" s="48">
        <f>IF($B$4='Ark2'!$A$3,$B30*($F30+$K30),"0,00")</f>
        <v>0</v>
      </c>
      <c r="N30" s="49" t="str">
        <f>IF($B$4='Ark2'!$A$4,(6*2)*($F30+$K30),"0,00")</f>
        <v>0,00</v>
      </c>
      <c r="O30" s="50">
        <f>M30+N30</f>
        <v>0</v>
      </c>
    </row>
    <row r="31" spans="1:15" ht="15.75" x14ac:dyDescent="0.3">
      <c r="A31" s="148"/>
      <c r="B31" s="44">
        <f>IF($B$4='Ark2'!$A$3,2,2)</f>
        <v>2</v>
      </c>
      <c r="C31" s="9"/>
      <c r="D31" s="7"/>
      <c r="E31" s="4"/>
      <c r="F31" s="110">
        <f>E31*D31*12</f>
        <v>0</v>
      </c>
      <c r="G31" s="21"/>
      <c r="H31" s="6"/>
      <c r="I31" s="4"/>
      <c r="J31" s="4"/>
      <c r="K31" s="110">
        <f>(I31+J31)*H31</f>
        <v>0</v>
      </c>
      <c r="L31" s="47"/>
      <c r="M31" s="48">
        <f>IF($B$4="Nulemission",$B31*($F31+$K31),"0,00")</f>
        <v>0</v>
      </c>
      <c r="N31" s="49" t="str">
        <f>IF($B$4="Diesel",$B31*($F31+$K31),"0,00")</f>
        <v>0,00</v>
      </c>
      <c r="O31" s="50">
        <f t="shared" ref="O31:O32" si="4">M31+N31</f>
        <v>0</v>
      </c>
    </row>
    <row r="32" spans="1:15" ht="15.75" x14ac:dyDescent="0.3">
      <c r="A32" s="148"/>
      <c r="B32" s="44">
        <f>IF($B$4='Ark2'!$A$3,2,2)</f>
        <v>2</v>
      </c>
      <c r="C32" s="9"/>
      <c r="D32" s="7"/>
      <c r="E32" s="4"/>
      <c r="F32" s="110">
        <f>E32*D32*12</f>
        <v>0</v>
      </c>
      <c r="G32" s="51"/>
      <c r="H32" s="6"/>
      <c r="I32" s="4"/>
      <c r="J32" s="4"/>
      <c r="K32" s="110">
        <f>(I32+J32)*H32</f>
        <v>0</v>
      </c>
      <c r="L32" s="47"/>
      <c r="M32" s="48">
        <f>IF($B$4="Nulemission",$B32*($F32+$K32),"0,00")</f>
        <v>0</v>
      </c>
      <c r="N32" s="49" t="str">
        <f>IF($B$4="Diesel",$B32*($F32+$K32),"0,00")</f>
        <v>0,00</v>
      </c>
      <c r="O32" s="50">
        <f t="shared" si="4"/>
        <v>0</v>
      </c>
    </row>
    <row r="33" spans="1:15" ht="15.75" x14ac:dyDescent="0.3">
      <c r="A33" s="52"/>
      <c r="B33" s="58"/>
      <c r="C33" s="44"/>
      <c r="D33" s="10">
        <f>SUM(D30:D32)</f>
        <v>0</v>
      </c>
      <c r="E33" s="53"/>
      <c r="F33" s="54"/>
      <c r="H33" s="46">
        <f>SUM(H30:H32)</f>
        <v>0</v>
      </c>
      <c r="I33" s="53"/>
      <c r="J33" s="53"/>
      <c r="K33" s="54"/>
      <c r="M33" s="55">
        <f>SUM(M30:M32)</f>
        <v>0</v>
      </c>
      <c r="N33" s="97">
        <f>SUM(N30:N32)</f>
        <v>0</v>
      </c>
      <c r="O33" s="97">
        <f>SUM(O30:O32)</f>
        <v>0</v>
      </c>
    </row>
    <row r="34" spans="1:15" x14ac:dyDescent="0.25">
      <c r="A34" s="52"/>
      <c r="B34" s="58"/>
      <c r="C34" s="58"/>
      <c r="F34" s="54"/>
      <c r="H34" s="59"/>
      <c r="K34" s="54"/>
      <c r="M34" s="55"/>
      <c r="N34" s="57"/>
      <c r="O34" s="60"/>
    </row>
    <row r="35" spans="1:15" ht="45" x14ac:dyDescent="0.3">
      <c r="A35" s="41" t="s">
        <v>9</v>
      </c>
      <c r="B35" s="32" t="s">
        <v>31</v>
      </c>
      <c r="C35" s="44"/>
      <c r="D35" s="44"/>
      <c r="E35" s="42" t="s">
        <v>28</v>
      </c>
      <c r="F35" s="43" t="s">
        <v>9</v>
      </c>
      <c r="G35" s="40"/>
      <c r="H35" s="137"/>
      <c r="I35" s="138"/>
      <c r="J35" s="138"/>
      <c r="K35" s="139"/>
      <c r="L35" s="23"/>
      <c r="M35" s="61"/>
      <c r="N35" s="62"/>
      <c r="O35" s="63"/>
    </row>
    <row r="36" spans="1:15" ht="15.75" x14ac:dyDescent="0.3">
      <c r="A36" s="41"/>
      <c r="B36" s="44">
        <f>IF($B$4='Ark2'!$A$3,2,2)</f>
        <v>2</v>
      </c>
      <c r="C36" s="44"/>
      <c r="D36" s="53"/>
      <c r="E36" s="4"/>
      <c r="F36" s="45">
        <f>E36*12</f>
        <v>0</v>
      </c>
      <c r="G36" s="40"/>
      <c r="H36" s="64"/>
      <c r="I36" s="65"/>
      <c r="J36" s="66"/>
      <c r="K36" s="67"/>
      <c r="L36" s="40"/>
      <c r="M36" s="68">
        <f>IF($B$4='Ark2'!$A$3,$B36*($F36+$K36),"0,00")</f>
        <v>0</v>
      </c>
      <c r="N36" s="69" t="str">
        <f>IF($B$4='Ark2'!$A$4,$B36*($F36+$K36),"0,00")</f>
        <v>0,00</v>
      </c>
      <c r="O36" s="70">
        <f t="shared" ref="O36" si="5">M36+N36</f>
        <v>0</v>
      </c>
    </row>
    <row r="37" spans="1:15" ht="15.75" x14ac:dyDescent="0.3">
      <c r="A37" s="71"/>
      <c r="C37" s="58"/>
      <c r="F37" s="72"/>
      <c r="G37" s="40"/>
      <c r="H37" s="3"/>
      <c r="I37" s="73"/>
      <c r="J37" s="73"/>
      <c r="K37" s="74"/>
      <c r="L37" s="47"/>
      <c r="M37" s="75"/>
      <c r="N37" s="56"/>
      <c r="O37" s="57"/>
    </row>
    <row r="38" spans="1:15" ht="45" x14ac:dyDescent="0.3">
      <c r="A38" s="41"/>
      <c r="B38" s="32" t="s">
        <v>31</v>
      </c>
      <c r="C38" s="42"/>
      <c r="D38" s="44"/>
      <c r="E38" s="44"/>
      <c r="F38" s="43"/>
      <c r="G38" s="21"/>
      <c r="H38" s="41" t="s">
        <v>18</v>
      </c>
      <c r="I38" s="44" t="s">
        <v>19</v>
      </c>
      <c r="J38" s="73"/>
      <c r="K38" s="43" t="s">
        <v>20</v>
      </c>
      <c r="L38" s="47"/>
      <c r="M38" s="61"/>
      <c r="N38" s="62"/>
      <c r="O38" s="63"/>
    </row>
    <row r="39" spans="1:15" ht="16.5" thickBot="1" x14ac:dyDescent="0.35">
      <c r="A39" s="77" t="s">
        <v>17</v>
      </c>
      <c r="B39" s="44">
        <f>IF($B$4='Ark2'!$A$3,2,2)</f>
        <v>2</v>
      </c>
      <c r="C39" s="78"/>
      <c r="D39" s="78"/>
      <c r="E39" s="78"/>
      <c r="F39" s="2"/>
      <c r="G39" s="1"/>
      <c r="H39" s="98">
        <f>$B$9</f>
        <v>0</v>
      </c>
      <c r="I39" s="5"/>
      <c r="J39" s="99"/>
      <c r="K39" s="45">
        <f>H39*I39</f>
        <v>0</v>
      </c>
      <c r="L39" s="47"/>
      <c r="M39" s="68">
        <f>IF($B$4='Ark2'!$A$3,$B39*($F39+$K39),"0,00")</f>
        <v>0</v>
      </c>
      <c r="N39" s="69" t="str">
        <f>IF($B$4='Ark2'!$A$4,$B39*($F39+$K39),"0,00")</f>
        <v>0,00</v>
      </c>
      <c r="O39" s="81">
        <f t="shared" ref="O39" si="6">M39+N39</f>
        <v>0</v>
      </c>
    </row>
    <row r="40" spans="1:15" ht="15.75" thickBot="1" x14ac:dyDescent="0.3">
      <c r="A40" s="82" t="s">
        <v>38</v>
      </c>
      <c r="B40" s="83"/>
      <c r="C40" s="83"/>
      <c r="D40" s="83"/>
      <c r="E40" s="83"/>
      <c r="F40" s="84">
        <f>SUM(F30:F32)+F36</f>
        <v>0</v>
      </c>
      <c r="H40" s="85"/>
      <c r="I40" s="83"/>
      <c r="J40" s="83"/>
      <c r="K40" s="84">
        <f>SUM(K30:K32)+K39</f>
        <v>0</v>
      </c>
      <c r="M40" s="87">
        <f>M33+M36+M39</f>
        <v>0</v>
      </c>
      <c r="N40" s="87">
        <f>N33+N36+N39</f>
        <v>0</v>
      </c>
      <c r="O40" s="87">
        <f>O33+O36+O39</f>
        <v>0</v>
      </c>
    </row>
    <row r="41" spans="1:15" ht="15.75" thickBot="1" x14ac:dyDescent="0.3">
      <c r="A41" s="88"/>
      <c r="H41" s="88"/>
      <c r="M41" s="89"/>
      <c r="N41" s="90"/>
      <c r="O41" s="90"/>
    </row>
    <row r="42" spans="1:15" ht="15.75" thickBot="1" x14ac:dyDescent="0.3">
      <c r="A42" s="15" t="str">
        <f>IF($B$4 = 'Ark2'!$A$3, "Option kontraktperiode (Januar 2041-Januar 2043) - 2 år - Nulemission", "Skal ikke udfyldes")</f>
        <v>Option kontraktperiode (Januar 2041-Januar 2043) - 2 år - Nulemission</v>
      </c>
      <c r="B42" s="16"/>
      <c r="C42" s="16"/>
      <c r="D42" s="16"/>
      <c r="E42" s="16"/>
      <c r="F42" s="16"/>
      <c r="G42" s="16"/>
      <c r="H42" s="16"/>
      <c r="I42" s="16"/>
      <c r="J42" s="16"/>
      <c r="K42" s="16"/>
      <c r="L42" s="16"/>
      <c r="M42" s="91"/>
      <c r="N42" s="92"/>
      <c r="O42" s="93"/>
    </row>
    <row r="43" spans="1:15" ht="15.75" x14ac:dyDescent="0.3">
      <c r="A43" s="20"/>
      <c r="B43" s="21"/>
      <c r="C43" s="21"/>
      <c r="D43" s="144" t="s">
        <v>0</v>
      </c>
      <c r="E43" s="140"/>
      <c r="F43" s="141"/>
      <c r="G43" s="21"/>
      <c r="H43" s="145" t="s">
        <v>4</v>
      </c>
      <c r="I43" s="146"/>
      <c r="J43" s="146"/>
      <c r="K43" s="147"/>
      <c r="L43" s="23"/>
      <c r="M43" s="94"/>
      <c r="N43" s="95" t="s">
        <v>15</v>
      </c>
      <c r="O43" s="96"/>
    </row>
    <row r="44" spans="1:15" ht="105" x14ac:dyDescent="0.3">
      <c r="A44" s="100" t="str">
        <f>A29</f>
        <v>Regional</v>
      </c>
      <c r="B44" s="32" t="s">
        <v>31</v>
      </c>
      <c r="C44" s="32" t="s">
        <v>14</v>
      </c>
      <c r="D44" s="32" t="s">
        <v>1</v>
      </c>
      <c r="E44" s="34" t="s">
        <v>2</v>
      </c>
      <c r="F44" s="35" t="s">
        <v>3</v>
      </c>
      <c r="G44" s="21"/>
      <c r="H44" s="64" t="s">
        <v>8</v>
      </c>
      <c r="I44" s="65" t="s">
        <v>5</v>
      </c>
      <c r="J44" s="66" t="s">
        <v>6</v>
      </c>
      <c r="K44" s="67" t="s">
        <v>7</v>
      </c>
      <c r="L44" s="40"/>
      <c r="M44" s="128" t="str">
        <f>M29</f>
        <v>Nulemission</v>
      </c>
      <c r="N44" s="102" t="str">
        <f>N29</f>
        <v>Diesel</v>
      </c>
      <c r="O44" s="103" t="s">
        <v>16</v>
      </c>
    </row>
    <row r="45" spans="1:15" ht="15.75" x14ac:dyDescent="0.3">
      <c r="A45" s="148" t="s">
        <v>13</v>
      </c>
      <c r="B45" s="44">
        <f>IF($B$4='Ark2'!$A$3,2,2)</f>
        <v>2</v>
      </c>
      <c r="C45" s="9"/>
      <c r="D45" s="7"/>
      <c r="E45" s="4"/>
      <c r="F45" s="110">
        <f>IF($B$4='Ark2'!$A$3,E45*D45*12,"0,00")</f>
        <v>0</v>
      </c>
      <c r="G45" s="21"/>
      <c r="H45" s="6"/>
      <c r="I45" s="4"/>
      <c r="J45" s="4"/>
      <c r="K45" s="110">
        <f>IF($B$4='Ark2'!$A$3,(I45+J45)*H45,"0,00")</f>
        <v>0</v>
      </c>
      <c r="L45" s="47"/>
      <c r="M45" s="48">
        <f>IF($B$4='Ark2'!$A$3,$B45*($F45+$K45),"0,00")</f>
        <v>0</v>
      </c>
      <c r="N45" s="49" t="str">
        <f>IF($B$4='Ark2'!$A$4,$B45*($F45+$K45),"0,00")</f>
        <v>0,00</v>
      </c>
      <c r="O45" s="50">
        <f>M45+N45</f>
        <v>0</v>
      </c>
    </row>
    <row r="46" spans="1:15" ht="15.75" x14ac:dyDescent="0.3">
      <c r="A46" s="148"/>
      <c r="B46" s="44">
        <f>IF($B$4='Ark2'!$A$3,2,2)</f>
        <v>2</v>
      </c>
      <c r="C46" s="9"/>
      <c r="D46" s="7"/>
      <c r="E46" s="4"/>
      <c r="F46" s="110">
        <f>IF($B$4='Ark2'!$A$3,E46*D46*12,"0,00")</f>
        <v>0</v>
      </c>
      <c r="G46" s="21"/>
      <c r="H46" s="6"/>
      <c r="I46" s="4"/>
      <c r="J46" s="4"/>
      <c r="K46" s="110">
        <f>IF($B$4='Ark2'!$A$3,(I46+J46)*H46,"0,00")</f>
        <v>0</v>
      </c>
      <c r="L46" s="47"/>
      <c r="M46" s="48">
        <f>IF($B$4='Ark2'!$A$3,$B46*($F46+$K46),"0,00")</f>
        <v>0</v>
      </c>
      <c r="N46" s="49" t="str">
        <f>IF($B$4='Ark2'!$A$4,$B46*($F46+$K46),"0,00")</f>
        <v>0,00</v>
      </c>
      <c r="O46" s="50">
        <f t="shared" ref="O46:O47" si="7">M46+N46</f>
        <v>0</v>
      </c>
    </row>
    <row r="47" spans="1:15" ht="15.75" x14ac:dyDescent="0.3">
      <c r="A47" s="148"/>
      <c r="B47" s="44">
        <f>IF($B$4='Ark2'!$A$3,2,2)</f>
        <v>2</v>
      </c>
      <c r="C47" s="9"/>
      <c r="D47" s="7"/>
      <c r="E47" s="4"/>
      <c r="F47" s="110">
        <f>IF($B$4='Ark2'!$A$3,E47*D47*12,"0,00")</f>
        <v>0</v>
      </c>
      <c r="G47" s="51"/>
      <c r="H47" s="6"/>
      <c r="I47" s="4"/>
      <c r="J47" s="4"/>
      <c r="K47" s="110">
        <f>IF($B$4='Ark2'!$A$3,(I47+J47)*H47,"0,00")</f>
        <v>0</v>
      </c>
      <c r="L47" s="47"/>
      <c r="M47" s="48">
        <f>IF($B$4='Ark2'!$A$3,$B47*($F47+$K47),"0,00")</f>
        <v>0</v>
      </c>
      <c r="N47" s="49" t="str">
        <f>IF($B$4='Ark2'!$A$4,$B47*($F47+$K47),"0,00")</f>
        <v>0,00</v>
      </c>
      <c r="O47" s="50">
        <f t="shared" si="7"/>
        <v>0</v>
      </c>
    </row>
    <row r="48" spans="1:15" ht="16.5" customHeight="1" x14ac:dyDescent="0.3">
      <c r="A48" s="52"/>
      <c r="B48" s="58"/>
      <c r="C48" s="44"/>
      <c r="D48" s="10">
        <f>SUM(D45:D47)</f>
        <v>0</v>
      </c>
      <c r="E48" s="53"/>
      <c r="F48" s="54"/>
      <c r="H48" s="46">
        <f>SUM(H45:H47)</f>
        <v>0</v>
      </c>
      <c r="I48" s="53"/>
      <c r="J48" s="53"/>
      <c r="K48" s="54"/>
      <c r="M48" s="75">
        <f>SUM(M45:M47)</f>
        <v>0</v>
      </c>
      <c r="N48" s="56">
        <f>SUM(N45:N47)</f>
        <v>0</v>
      </c>
      <c r="O48" s="57">
        <f>SUM(O45:O47)</f>
        <v>0</v>
      </c>
    </row>
    <row r="49" spans="1:15" x14ac:dyDescent="0.25">
      <c r="A49" s="52"/>
      <c r="B49" s="58"/>
      <c r="C49" s="58"/>
      <c r="F49" s="54"/>
      <c r="H49" s="59"/>
      <c r="K49" s="54"/>
      <c r="M49" s="55"/>
      <c r="N49" s="57"/>
      <c r="O49" s="60"/>
    </row>
    <row r="50" spans="1:15" ht="45" x14ac:dyDescent="0.3">
      <c r="A50" s="41" t="s">
        <v>9</v>
      </c>
      <c r="B50" s="32" t="s">
        <v>31</v>
      </c>
      <c r="C50" s="44"/>
      <c r="D50" s="44"/>
      <c r="E50" s="42" t="s">
        <v>28</v>
      </c>
      <c r="F50" s="43" t="s">
        <v>9</v>
      </c>
      <c r="G50" s="40"/>
      <c r="H50" s="137"/>
      <c r="I50" s="138"/>
      <c r="J50" s="138"/>
      <c r="K50" s="139"/>
      <c r="L50" s="23"/>
      <c r="M50" s="104"/>
      <c r="N50" s="62"/>
      <c r="O50" s="105"/>
    </row>
    <row r="51" spans="1:15" ht="15.75" x14ac:dyDescent="0.3">
      <c r="A51" s="41"/>
      <c r="B51" s="44">
        <f>IF($B$4="Nulemission",2,2)</f>
        <v>2</v>
      </c>
      <c r="C51" s="44"/>
      <c r="D51" s="53"/>
      <c r="E51" s="4"/>
      <c r="F51" s="45">
        <f>IF($B$4='Ark2'!$A$3,E51*12,"0,00")</f>
        <v>0</v>
      </c>
      <c r="G51" s="40"/>
      <c r="H51" s="64"/>
      <c r="I51" s="65"/>
      <c r="J51" s="66"/>
      <c r="K51" s="67"/>
      <c r="L51" s="40"/>
      <c r="M51" s="48">
        <f>IF($B$4='Ark2'!$A$3,$B51*($F51+$K51),"0,00")</f>
        <v>0</v>
      </c>
      <c r="N51" s="49" t="str">
        <f>IF($B$4='Ark2'!$A$4,$B51*($F51+$K51),"0,00")</f>
        <v>0,00</v>
      </c>
      <c r="O51" s="106">
        <f t="shared" ref="O51" si="8">M51+N51</f>
        <v>0</v>
      </c>
    </row>
    <row r="52" spans="1:15" ht="15.75" x14ac:dyDescent="0.3">
      <c r="A52" s="71"/>
      <c r="C52" s="58"/>
      <c r="F52" s="72"/>
      <c r="G52" s="40"/>
      <c r="H52" s="3"/>
      <c r="I52" s="73"/>
      <c r="J52" s="73"/>
      <c r="K52" s="74"/>
      <c r="L52" s="47"/>
      <c r="M52" s="75"/>
      <c r="N52" s="56"/>
      <c r="O52" s="57"/>
    </row>
    <row r="53" spans="1:15" ht="54.75" customHeight="1" x14ac:dyDescent="0.3">
      <c r="A53" s="41"/>
      <c r="B53" s="32" t="s">
        <v>31</v>
      </c>
      <c r="C53" s="42"/>
      <c r="D53" s="44"/>
      <c r="E53" s="44"/>
      <c r="F53" s="43"/>
      <c r="G53" s="21"/>
      <c r="H53" s="41" t="s">
        <v>18</v>
      </c>
      <c r="I53" s="44" t="s">
        <v>19</v>
      </c>
      <c r="J53" s="76"/>
      <c r="K53" s="43" t="s">
        <v>20</v>
      </c>
      <c r="L53" s="47"/>
      <c r="M53" s="61"/>
      <c r="N53" s="62"/>
      <c r="O53" s="63"/>
    </row>
    <row r="54" spans="1:15" ht="16.5" thickBot="1" x14ac:dyDescent="0.35">
      <c r="A54" s="77" t="s">
        <v>17</v>
      </c>
      <c r="B54" s="44">
        <f>IF($B$4="Nulemission",2,2)</f>
        <v>2</v>
      </c>
      <c r="C54" s="78"/>
      <c r="D54" s="78"/>
      <c r="E54" s="78"/>
      <c r="F54" s="2"/>
      <c r="G54" s="1"/>
      <c r="H54" s="8">
        <f>$B$9</f>
        <v>0</v>
      </c>
      <c r="I54" s="4"/>
      <c r="J54" s="76"/>
      <c r="K54" s="45">
        <f>IF($B$4='Ark2'!$A$3,H54*I54,"0,00")</f>
        <v>0</v>
      </c>
      <c r="L54" s="47"/>
      <c r="M54" s="48">
        <f>IF($B$4='Ark2'!$A$3,$B54*($F54+$K54),"0,00")</f>
        <v>0</v>
      </c>
      <c r="N54" s="49" t="str">
        <f>IF($B$4='Ark2'!$A$4,$B54*($F54+$K54),"0,00")</f>
        <v>0,00</v>
      </c>
      <c r="O54" s="107">
        <f t="shared" ref="O54" si="9">M54+N54</f>
        <v>0</v>
      </c>
    </row>
    <row r="55" spans="1:15" ht="15.75" thickBot="1" x14ac:dyDescent="0.3">
      <c r="A55" s="82" t="s">
        <v>38</v>
      </c>
      <c r="B55" s="83"/>
      <c r="C55" s="83"/>
      <c r="D55" s="83"/>
      <c r="E55" s="83"/>
      <c r="F55" s="84">
        <f>SUM(F45:F47)+F51</f>
        <v>0</v>
      </c>
      <c r="H55" s="85"/>
      <c r="I55" s="83"/>
      <c r="J55" s="83"/>
      <c r="K55" s="84">
        <f>SUM(K45:K47)+K54</f>
        <v>0</v>
      </c>
      <c r="M55" s="87">
        <f>M48+M51+M54</f>
        <v>0</v>
      </c>
      <c r="N55" s="87">
        <f>N48+N51+N54</f>
        <v>0</v>
      </c>
      <c r="O55" s="87">
        <f>O48+O51+O54</f>
        <v>0</v>
      </c>
    </row>
    <row r="56" spans="1:15" x14ac:dyDescent="0.25">
      <c r="A56" s="59"/>
      <c r="M56" s="89"/>
      <c r="N56" s="90"/>
      <c r="O56" s="90"/>
    </row>
    <row r="57" spans="1:15" ht="15.75" thickBot="1" x14ac:dyDescent="0.3">
      <c r="A57" s="59"/>
      <c r="M57" s="89"/>
      <c r="N57" s="90"/>
      <c r="O57" s="90"/>
    </row>
    <row r="58" spans="1:15" ht="15.75" thickBot="1" x14ac:dyDescent="0.3">
      <c r="A58" s="59"/>
      <c r="F58" s="108" t="str">
        <f>IF($B$4="Nulemission",_xlfn.CONCAT("Total ",A14," - ",'Ark2'!$A$3," - 16 år"),_xlfn.CONCAT("Total ",A14," - ",'Ark2'!$A$4," - 4 år + 6*2 år"))</f>
        <v>Total Regional - Nulemission - 16 år</v>
      </c>
      <c r="M58" s="87">
        <f>M55+M40+M25</f>
        <v>0</v>
      </c>
      <c r="N58" s="87">
        <f>N55+N40+N25</f>
        <v>0</v>
      </c>
      <c r="O58" s="87">
        <f>O55+O40+O25</f>
        <v>0</v>
      </c>
    </row>
    <row r="59" spans="1:15" x14ac:dyDescent="0.25">
      <c r="A59" s="59"/>
      <c r="M59" s="109"/>
    </row>
    <row r="60" spans="1:15" x14ac:dyDescent="0.25">
      <c r="A60" s="59"/>
    </row>
    <row r="63" spans="1:15" ht="16.5" customHeight="1" x14ac:dyDescent="0.25"/>
    <row r="66" customFormat="1" ht="15.75" customHeight="1" x14ac:dyDescent="0.25"/>
  </sheetData>
  <sheetProtection algorithmName="SHA-512" hashValue="HRIFCetVJQ0RG4eCXsAj5kQH3u/L13RS1aRUIZhpck8tmlFBPjkexc4B99B4lPAUhLPWolzGS6XNG6J3PfoeoA==" saltValue="uz/wxDlZylMlDQ0a3l9qkw==" spinCount="100000" sheet="1" objects="1" scenarios="1"/>
  <protectedRanges>
    <protectedRange sqref="F21" name="F1_1"/>
    <protectedRange sqref="E15:E17 E30:E32 E45:E47" name="P3 B_1"/>
    <protectedRange sqref="I39 I54 G23:G24 F22:F23 K23 G38:G39 F37:F38 K38 G53:G54 F52:F53 K53 I24" name="P3 Ø_2"/>
    <protectedRange sqref="F21" name="P3 C_2"/>
    <protectedRange sqref="I15:I17 I30:I32 I45:I47" name="P3 Ø_1_1"/>
    <protectedRange sqref="J15:J17 J30:J32 J45:J47" name="P3 C_1_1"/>
    <protectedRange sqref="F36" name="F1_1_1"/>
    <protectedRange sqref="F36" name="P3 C_2_1"/>
  </protectedRanges>
  <mergeCells count="12">
    <mergeCell ref="A15:A17"/>
    <mergeCell ref="H12:K12"/>
    <mergeCell ref="H20:K20"/>
    <mergeCell ref="D12:F12"/>
    <mergeCell ref="D28:F28"/>
    <mergeCell ref="D43:F43"/>
    <mergeCell ref="H43:K43"/>
    <mergeCell ref="A45:A47"/>
    <mergeCell ref="H50:K50"/>
    <mergeCell ref="H28:K28"/>
    <mergeCell ref="A30:A32"/>
    <mergeCell ref="H35:K35"/>
  </mergeCells>
  <conditionalFormatting sqref="H18">
    <cfRule type="cellIs" dxfId="5" priority="10" operator="notEqual">
      <formula>$B$8</formula>
    </cfRule>
    <cfRule type="expression" dxfId="4" priority="11">
      <formula>SUM($H$15:$H$17)=$B$8</formula>
    </cfRule>
  </conditionalFormatting>
  <conditionalFormatting sqref="H33">
    <cfRule type="cellIs" dxfId="3" priority="3" operator="notEqual">
      <formula>$B$8</formula>
    </cfRule>
    <cfRule type="expression" dxfId="2" priority="4">
      <formula>SUM($H$15:$H$17)=$B$8</formula>
    </cfRule>
  </conditionalFormatting>
  <conditionalFormatting sqref="H48">
    <cfRule type="cellIs" dxfId="1" priority="1" operator="notEqual">
      <formula>$B$8</formula>
    </cfRule>
    <cfRule type="expression" dxfId="0" priority="2">
      <formula>SUM($H$15:$H$17)=$B$8</formula>
    </cfRule>
  </conditionalFormatting>
  <pageMargins left="0.23622047244094491" right="0.23622047244094491" top="0.94488188976377963" bottom="0.74803149606299213" header="0.31496062992125984" footer="0.31496062992125984"/>
  <pageSetup paperSize="9" scale="36" orientation="portrait" r:id="rId1"/>
  <headerFooter>
    <oddHeader xml:space="preserve">&amp;L&amp;10FynBus, 9. februar 2024 
Udbud af emissionsfri buskørsel i Svendborg By
J.nr. 202311-40216 </oddHeader>
  </headerFooter>
  <colBreaks count="1" manualBreakCount="1">
    <brk id="15" max="51"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08377F4-330C-4719-AF18-D1783158F2FA}">
          <x14:formula1>
            <xm:f>'Ark2'!$G$2:$G$5</xm:f>
          </x14:formula1>
          <xm:sqref>C15:C17 C30:C32 C45:C47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85D8D-020B-493E-8A1E-4FC923DB80DA}">
  <dimension ref="A1:G5"/>
  <sheetViews>
    <sheetView workbookViewId="0">
      <selection activeCell="L23" sqref="L23"/>
    </sheetView>
  </sheetViews>
  <sheetFormatPr defaultRowHeight="15" x14ac:dyDescent="0.25"/>
  <sheetData>
    <row r="1" spans="1:7" x14ac:dyDescent="0.25">
      <c r="A1" t="s">
        <v>35</v>
      </c>
      <c r="E1" t="s">
        <v>14</v>
      </c>
    </row>
    <row r="3" spans="1:7" x14ac:dyDescent="0.25">
      <c r="A3" t="s">
        <v>41</v>
      </c>
      <c r="E3" t="s">
        <v>46</v>
      </c>
      <c r="G3" t="s">
        <v>46</v>
      </c>
    </row>
    <row r="4" spans="1:7" x14ac:dyDescent="0.25">
      <c r="A4" t="s">
        <v>11</v>
      </c>
      <c r="E4" t="s">
        <v>45</v>
      </c>
    </row>
    <row r="5" spans="1:7" x14ac:dyDescent="0.25">
      <c r="E5" t="s">
        <v>47</v>
      </c>
    </row>
  </sheetData>
  <sheetProtection algorithmName="SHA-512" hashValue="iWZypGPFIG8vIxJRcX5SadCRBOX1Z0VT5v8KHD8d2EnDCx6Y+T/Ar5ry4Nx9AflvDX3qnq3Hhiypx2W50idjeg==" saltValue="Jq1WD/rPPNUT5HnPSINoS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6c42fe5f-c3c0-4533-a64f-6c4546776071">
      <UserInfo>
        <DisplayName>Helle Nonnemann Bonde</DisplayName>
        <AccountId>35</AccountId>
        <AccountType/>
      </UserInfo>
      <UserInfo>
        <DisplayName>Jacob Nissen Boldt</DisplayName>
        <AccountId>29</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2E9EEAD69375E74CAEC60D42F0119D1A" ma:contentTypeVersion="6" ma:contentTypeDescription="Opret et nyt dokument." ma:contentTypeScope="" ma:versionID="6d6ce35f51bd513ce43b2f92e3307081">
  <xsd:schema xmlns:xsd="http://www.w3.org/2001/XMLSchema" xmlns:xs="http://www.w3.org/2001/XMLSchema" xmlns:p="http://schemas.microsoft.com/office/2006/metadata/properties" xmlns:ns2="32cd11aa-f1b2-4717-b7f3-9c8101cbb02a" xmlns:ns3="6c42fe5f-c3c0-4533-a64f-6c4546776071" targetNamespace="http://schemas.microsoft.com/office/2006/metadata/properties" ma:root="true" ma:fieldsID="287bd937215865f8cf7213e2d5e5411a" ns2:_="" ns3:_="">
    <xsd:import namespace="32cd11aa-f1b2-4717-b7f3-9c8101cbb02a"/>
    <xsd:import namespace="6c42fe5f-c3c0-4533-a64f-6c454677607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cd11aa-f1b2-4717-b7f3-9c8101cbb0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c42fe5f-c3c0-4533-a64f-6c4546776071" elementFormDefault="qualified">
    <xsd:import namespace="http://schemas.microsoft.com/office/2006/documentManagement/types"/>
    <xsd:import namespace="http://schemas.microsoft.com/office/infopath/2007/PartnerControls"/>
    <xsd:element name="SharedWithUsers" ma:index="11"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lt med 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12C776-3A0E-4337-BFF3-1032E322AF76}">
  <ds:schemaRefs>
    <ds:schemaRef ds:uri="6c42fe5f-c3c0-4533-a64f-6c4546776071"/>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32cd11aa-f1b2-4717-b7f3-9c8101cbb02a"/>
    <ds:schemaRef ds:uri="http://www.w3.org/XML/1998/namespace"/>
    <ds:schemaRef ds:uri="http://purl.org/dc/dcmitype/"/>
  </ds:schemaRefs>
</ds:datastoreItem>
</file>

<file path=customXml/itemProps2.xml><?xml version="1.0" encoding="utf-8"?>
<ds:datastoreItem xmlns:ds="http://schemas.openxmlformats.org/officeDocument/2006/customXml" ds:itemID="{F78967ED-89AA-4936-930B-F7CCB08DDE4E}">
  <ds:schemaRefs>
    <ds:schemaRef ds:uri="http://schemas.microsoft.com/sharepoint/v3/contenttype/forms"/>
  </ds:schemaRefs>
</ds:datastoreItem>
</file>

<file path=customXml/itemProps3.xml><?xml version="1.0" encoding="utf-8"?>
<ds:datastoreItem xmlns:ds="http://schemas.openxmlformats.org/officeDocument/2006/customXml" ds:itemID="{9780E846-00B6-4297-96FD-08DAE14C80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cd11aa-f1b2-4717-b7f3-9c8101cbb02a"/>
    <ds:schemaRef ds:uri="6c42fe5f-c3c0-4533-a64f-6c45467760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8</vt:i4>
      </vt:variant>
      <vt:variant>
        <vt:lpstr>Navngivne områder</vt:lpstr>
      </vt:variant>
      <vt:variant>
        <vt:i4>14</vt:i4>
      </vt:variant>
    </vt:vector>
  </HeadingPairs>
  <TitlesOfParts>
    <vt:vector size="22" baseType="lpstr">
      <vt:lpstr>Pakke 1 overblik</vt:lpstr>
      <vt:lpstr>Tilbudsskema - Assens lokal</vt:lpstr>
      <vt:lpstr>Tilbudsskema - Kerteminde lokal</vt:lpstr>
      <vt:lpstr>Tilbudsskema - Nordfyns lokal</vt:lpstr>
      <vt:lpstr>Tilbudsskema - Middelfart bybus</vt:lpstr>
      <vt:lpstr>Tilbudsskema - Middelfart lokal</vt:lpstr>
      <vt:lpstr>Tilbudsskema - Regional</vt:lpstr>
      <vt:lpstr>Ark2</vt:lpstr>
      <vt:lpstr>'Pakke 1 overblik'!Udskriftsområde</vt:lpstr>
      <vt:lpstr>'Tilbudsskema - Assens lokal'!Udskriftsområde</vt:lpstr>
      <vt:lpstr>'Tilbudsskema - Kerteminde lokal'!Udskriftsområde</vt:lpstr>
      <vt:lpstr>'Tilbudsskema - Middelfart bybus'!Udskriftsområde</vt:lpstr>
      <vt:lpstr>'Tilbudsskema - Middelfart lokal'!Udskriftsområde</vt:lpstr>
      <vt:lpstr>'Tilbudsskema - Nordfyns lokal'!Udskriftsområde</vt:lpstr>
      <vt:lpstr>'Tilbudsskema - Regional'!Udskriftsområde</vt:lpstr>
      <vt:lpstr>'Pakke 1 overblik'!Udskriftstitler</vt:lpstr>
      <vt:lpstr>'Tilbudsskema - Assens lokal'!Udskriftstitler</vt:lpstr>
      <vt:lpstr>'Tilbudsskema - Kerteminde lokal'!Udskriftstitler</vt:lpstr>
      <vt:lpstr>'Tilbudsskema - Middelfart bybus'!Udskriftstitler</vt:lpstr>
      <vt:lpstr>'Tilbudsskema - Middelfart lokal'!Udskriftstitler</vt:lpstr>
      <vt:lpstr>'Tilbudsskema - Nordfyns lokal'!Udskriftstitler</vt:lpstr>
      <vt:lpstr>'Tilbudsskema - Regional'!Udskriftstitler</vt:lpstr>
    </vt:vector>
  </TitlesOfParts>
  <Manager/>
  <Company>Fynbus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Helle Skjødt Hansen</dc:creator>
  <cp:keywords/>
  <dc:description/>
  <cp:lastModifiedBy>Julia Egebæk</cp:lastModifiedBy>
  <cp:revision/>
  <cp:lastPrinted>2024-11-13T09:52:17Z</cp:lastPrinted>
  <dcterms:created xsi:type="dcterms:W3CDTF">2017-09-20T07:46:24Z</dcterms:created>
  <dcterms:modified xsi:type="dcterms:W3CDTF">2024-12-10T10:11:31Z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0x0101002E9EEAD69375E74CAEC60D42F0119D1A</vt:lpwstr>
  </property>
  <property fmtid="{D5CDD505-2E9C-101B-9397-08002B2CF9AE}" pid="3" name="Order">
    <vt:r8>36000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ies>
</file>